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3820"/>
  <bookViews>
    <workbookView xWindow="120" yWindow="165" windowWidth="15135" windowHeight="7530" activeTab="3"/>
  </bookViews>
  <sheets>
    <sheet name="Proposta de Preços" sheetId="1" r:id="rId1"/>
    <sheet name="Quantitativos" sheetId="3" state="hidden" r:id="rId2"/>
    <sheet name="Cronograma Licitante" sheetId="5" r:id="rId3"/>
    <sheet name="BDI" sheetId="6" r:id="rId4"/>
  </sheets>
  <definedNames>
    <definedName name="_xlnm.Print_Area" localSheetId="3">BDI!$A$1:$AL$37</definedName>
    <definedName name="_xlnm.Print_Area" localSheetId="2">'Cronograma Licitante'!$A$1:$CP$42</definedName>
    <definedName name="_xlnm.Print_Area" localSheetId="0">'Proposta de Preços'!$A$1:$CU$57</definedName>
    <definedName name="_xlnm.Database">TEXT(#REF!,"mm-aaaa")</definedName>
    <definedName name="Fonte">'Proposta de Preços'!$I1</definedName>
    <definedName name="_xlnm.Print_Titles" localSheetId="0">'Proposta de Preços'!$1:$23</definedName>
  </definedNames>
  <calcPr calcId="124519"/>
</workbook>
</file>

<file path=xl/calcChain.xml><?xml version="1.0" encoding="utf-8"?>
<calcChain xmlns="http://schemas.openxmlformats.org/spreadsheetml/2006/main">
  <c r="CF15" i="5"/>
  <c r="CH37"/>
  <c r="U24" i="6"/>
  <c r="E48" i="1" s="1"/>
  <c r="J16" i="5" l="1"/>
  <c r="D9"/>
  <c r="D10"/>
  <c r="BV43" i="1"/>
  <c r="CK43" s="1"/>
  <c r="BV44"/>
  <c r="CK44" s="1"/>
  <c r="BV45"/>
  <c r="CK45" s="1"/>
  <c r="BV46"/>
  <c r="CK46" s="1"/>
  <c r="CA43"/>
  <c r="CA44"/>
  <c r="CA45"/>
  <c r="CA46"/>
  <c r="M19" i="5" l="1"/>
  <c r="CA38" i="1" l="1"/>
  <c r="CA31"/>
  <c r="CA33"/>
  <c r="CA34"/>
  <c r="CA37"/>
  <c r="BV34"/>
  <c r="CK34" s="1"/>
  <c r="BV37"/>
  <c r="CK37" s="1"/>
  <c r="BV33"/>
  <c r="CK33" s="1"/>
  <c r="BV31"/>
  <c r="CK31" s="1"/>
  <c r="L15" i="5" l="1"/>
  <c r="CC34"/>
  <c r="BR34"/>
  <c r="F31"/>
  <c r="F28"/>
  <c r="F25"/>
  <c r="A28"/>
  <c r="A31" s="1"/>
  <c r="E20"/>
  <c r="K17"/>
  <c r="BE17"/>
  <c r="BZ16"/>
  <c r="J42"/>
  <c r="H41"/>
  <c r="N21"/>
  <c r="R12"/>
  <c r="BV42" i="1" l="1"/>
  <c r="BV38"/>
  <c r="CK38" s="1"/>
  <c r="BV29"/>
  <c r="CK29" s="1"/>
  <c r="BV26"/>
  <c r="CA42"/>
  <c r="CA26"/>
  <c r="CA29"/>
  <c r="CK42" l="1"/>
  <c r="CK47" l="1"/>
  <c r="CA47"/>
  <c r="AE31" i="5" l="1"/>
  <c r="AP31" s="1"/>
  <c r="CK26" i="1" l="1"/>
  <c r="CK27" s="1"/>
  <c r="AE25" i="5" l="1"/>
  <c r="AP25" s="1"/>
  <c r="CK39" i="1"/>
  <c r="CK48" s="1"/>
  <c r="AE28" i="5" l="1"/>
  <c r="AP28" s="1"/>
  <c r="AP34" s="1"/>
  <c r="AE34" l="1"/>
  <c r="E470" i="3"/>
  <c r="E471" s="1"/>
  <c r="F461"/>
  <c r="F451"/>
  <c r="F453" s="1"/>
  <c r="E442"/>
  <c r="E443" s="1"/>
  <c r="E446" s="1"/>
  <c r="E438"/>
  <c r="E412"/>
  <c r="E434" s="1"/>
  <c r="E406"/>
  <c r="G402"/>
  <c r="G406" s="1"/>
  <c r="G394"/>
  <c r="G392"/>
  <c r="G396" s="1"/>
  <c r="E397" s="1"/>
  <c r="E375"/>
  <c r="G375" s="1"/>
  <c r="F394" s="1"/>
  <c r="G374"/>
  <c r="F393" s="1"/>
  <c r="G373"/>
  <c r="F464" s="1"/>
  <c r="G372"/>
  <c r="F392" s="1"/>
  <c r="E363"/>
  <c r="E358"/>
  <c r="F351"/>
  <c r="E351"/>
  <c r="E342"/>
  <c r="E335"/>
  <c r="E327"/>
  <c r="E319"/>
  <c r="E320" s="1"/>
  <c r="E312"/>
  <c r="G300"/>
  <c r="G301" s="1"/>
  <c r="G302" s="1"/>
  <c r="F294"/>
  <c r="F295" s="1"/>
  <c r="D294"/>
  <c r="F287"/>
  <c r="D286"/>
  <c r="F286" s="1"/>
  <c r="D285"/>
  <c r="F285" s="1"/>
  <c r="G278"/>
  <c r="G279" s="1"/>
  <c r="D272"/>
  <c r="D273" s="1"/>
  <c r="D263"/>
  <c r="D259"/>
  <c r="D252"/>
  <c r="E243"/>
  <c r="E242"/>
  <c r="E238"/>
  <c r="G224"/>
  <c r="G215"/>
  <c r="G214"/>
  <c r="G213"/>
  <c r="G212"/>
  <c r="D207"/>
  <c r="D189"/>
  <c r="D187"/>
  <c r="D197" s="1"/>
  <c r="D198" s="1"/>
  <c r="D178"/>
  <c r="D179" s="1"/>
  <c r="D171"/>
  <c r="D172" s="1"/>
  <c r="D170"/>
  <c r="D127"/>
  <c r="D126"/>
  <c r="D159" s="1"/>
  <c r="D117"/>
  <c r="D118" s="1"/>
  <c r="D120" s="1"/>
  <c r="D116"/>
  <c r="D230" s="1"/>
  <c r="D111"/>
  <c r="D112" s="1"/>
  <c r="D113" s="1"/>
  <c r="D109"/>
  <c r="D96"/>
  <c r="D98" s="1"/>
  <c r="D99" s="1"/>
  <c r="D88"/>
  <c r="H86"/>
  <c r="D86"/>
  <c r="D76"/>
  <c r="D103" s="1"/>
  <c r="D59"/>
  <c r="D61" s="1"/>
  <c r="J55"/>
  <c r="D55" s="1"/>
  <c r="J45"/>
  <c r="D32"/>
  <c r="E12"/>
  <c r="J35" s="1"/>
  <c r="J38" s="1"/>
  <c r="D89" l="1"/>
  <c r="G216"/>
  <c r="G217" s="1"/>
  <c r="E244"/>
  <c r="E382"/>
  <c r="E385" s="1"/>
  <c r="D234"/>
  <c r="D220"/>
  <c r="E477"/>
  <c r="G377"/>
  <c r="D106"/>
  <c r="D107" s="1"/>
  <c r="D108" s="1"/>
  <c r="D136"/>
  <c r="D129"/>
  <c r="D130" s="1"/>
  <c r="D131" s="1"/>
  <c r="D132" s="1"/>
  <c r="F288"/>
  <c r="F289"/>
  <c r="D155"/>
  <c r="D162" s="1"/>
  <c r="E377"/>
  <c r="E414"/>
  <c r="E419" s="1"/>
  <c r="E422"/>
  <c r="D65"/>
  <c r="D67" s="1"/>
  <c r="D78"/>
  <c r="D80" s="1"/>
  <c r="D81" s="1"/>
  <c r="D128"/>
  <c r="D145"/>
  <c r="F395"/>
  <c r="F456"/>
  <c r="D161" l="1"/>
  <c r="D148"/>
  <c r="D147"/>
  <c r="E424"/>
  <c r="E428"/>
  <c r="E430" s="1"/>
  <c r="D138"/>
  <c r="D160"/>
  <c r="D163" s="1"/>
  <c r="D164" s="1"/>
  <c r="D139"/>
  <c r="D149" l="1"/>
  <c r="D150" s="1"/>
  <c r="D140"/>
  <c r="D141" s="1"/>
  <c r="CA39" i="1" l="1"/>
  <c r="CA27"/>
</calcChain>
</file>

<file path=xl/comments1.xml><?xml version="1.0" encoding="utf-8"?>
<comments xmlns="http://schemas.openxmlformats.org/spreadsheetml/2006/main">
  <authors>
    <author>pmj</author>
  </authors>
  <commentList>
    <comment ref="CC8" authorId="0">
      <text>
        <r>
          <rPr>
            <b/>
            <sz val="14"/>
            <color indexed="81"/>
            <rFont val="Arial"/>
            <family val="2"/>
          </rPr>
          <t>ATENÇÃO LICITANTE!!
Preencha somente os campos destacados em amarelo.
O restante das informações serão preenchidas automaticamente.
É necessário imprimir e assinar esta planilha, devendo o responsável legal da licitante assinar a via impressa e juntar à documentação da proposta a ser apresentada para a Prefeitura, conforme indicado no Edital da Licitação.
Também é necessário, após o preenchimento, gravar as duas pastas (Proposta e Cronograma) em um CD e juntar à documentação da licitação.</t>
        </r>
      </text>
    </comment>
    <comment ref="E48" authorId="0">
      <text>
        <r>
          <rPr>
            <b/>
            <sz val="12"/>
            <color indexed="81"/>
            <rFont val="Arial"/>
            <family val="2"/>
          </rPr>
          <t>O valor do BDI será inserido automaticamente. Para isso você deve definir o valor resultante do BDI na aba "BDI" desta pasta de trabalho, preenchendo todos os campos disponiveis naquela aba e respeitando os limites máximo e mínimo lá indicados.</t>
        </r>
      </text>
    </comment>
  </commentList>
</comments>
</file>

<file path=xl/comments2.xml><?xml version="1.0" encoding="utf-8"?>
<comments xmlns="http://schemas.openxmlformats.org/spreadsheetml/2006/main">
  <authors>
    <author>pmj</author>
  </authors>
  <commentList>
    <comment ref="BZ8" authorId="0">
      <text>
        <r>
          <rPr>
            <b/>
            <sz val="14"/>
            <color indexed="81"/>
            <rFont val="Arial"/>
            <family val="2"/>
          </rPr>
          <t>ATENÇÃO LICITANTE!!
Não é necessário o preenchimento desta planilha. Ela será preenchida automaticamente com o preenchimento da aba "Proposta de Preços".
No entanto, é necessário imprimi-la e assiná-la, devendo o responsável legal da licitante assinar a via impressa e juntar à documentação da proposta a ser apresentada para a Prefeitura, conforme indicado no Edital da Licitação.</t>
        </r>
      </text>
    </comment>
  </commentList>
</comments>
</file>

<file path=xl/comments3.xml><?xml version="1.0" encoding="utf-8"?>
<comments xmlns="http://schemas.openxmlformats.org/spreadsheetml/2006/main">
  <authors>
    <author>pmj</author>
  </authors>
  <commentList>
    <comment ref="U12" authorId="0">
      <text>
        <r>
          <rPr>
            <b/>
            <sz val="12"/>
            <color indexed="81"/>
            <rFont val="Arial"/>
            <family val="2"/>
          </rPr>
          <t>Inserir os valores com, no máximo, duas casas decimais. O BDI resultante deverá estar situado dentro dos limites máximo e mínimo definidos pelo acórdão TCU 2.622/2.013</t>
        </r>
      </text>
    </comment>
    <comment ref="AB24" authorId="0">
      <text>
        <r>
          <rPr>
            <b/>
            <sz val="12"/>
            <color indexed="81"/>
            <rFont val="Arial"/>
            <family val="2"/>
          </rPr>
          <t>ATENÇÃO LICITANTE!!
Preencha somente os campos destacados em amarelo.
O restante das informações serão preenchidas automaticamente.
É necessário imprimir e assinar esta planilha, devendo o responsável legal da licitante assinar a via impressa e juntar à documentação da proposta a ser apresentada para a Prefeitura, conforme indicado no Edital da Licitação.
Também é necessário, após o preenchimento, gravar as três pastas (Proposta, Cronograma e BDI) em um CD e juntar à documentação da licitação.</t>
        </r>
      </text>
    </comment>
  </commentList>
</comments>
</file>

<file path=xl/sharedStrings.xml><?xml version="1.0" encoding="utf-8"?>
<sst xmlns="http://schemas.openxmlformats.org/spreadsheetml/2006/main" count="631" uniqueCount="410">
  <si>
    <t>ITEM</t>
  </si>
  <si>
    <t>MOVIMENTO DE TERRA</t>
  </si>
  <si>
    <t>COBERTURA</t>
  </si>
  <si>
    <t>QUANT.</t>
  </si>
  <si>
    <t>total</t>
  </si>
  <si>
    <t>sub-total</t>
  </si>
  <si>
    <t>DISCRIMINAÇÃO</t>
  </si>
  <si>
    <t>PERÍODO</t>
  </si>
  <si>
    <t>MEMORIAL DE CALCULO - QUANTITATIVOS</t>
  </si>
  <si>
    <t>SERVIÇOS PRELIMINARES</t>
  </si>
  <si>
    <t>Preparo do terreno</t>
  </si>
  <si>
    <t>será considerado uma área de :</t>
  </si>
  <si>
    <t>m (largura)</t>
  </si>
  <si>
    <t>m (comprimento)</t>
  </si>
  <si>
    <t>área:</t>
  </si>
  <si>
    <t>m²</t>
  </si>
  <si>
    <t>Container escritório com 1 sanitário - mínimo 9,20 m²</t>
  </si>
  <si>
    <t>será utilizado container, no espaço destinado á estacionamento e depósito de materiais.</t>
  </si>
  <si>
    <t>Pelas características do local, e do grande acesso de público, não será permitido a utilização como dormitório.</t>
  </si>
  <si>
    <t>As ligações de água, esgotos e energia elétrica aproveitarão os ramais existentes do prédio ao lado.</t>
  </si>
  <si>
    <t>Locação da obra</t>
  </si>
  <si>
    <t xml:space="preserve">será considerado a área construída das edificações, ou seja, </t>
  </si>
  <si>
    <t>Placa da obra</t>
  </si>
  <si>
    <t xml:space="preserve">será considerado uma placa, em chapa de aço galvanizado em estrutura de madeira, com tamanho de 1,5mx3m, </t>
  </si>
  <si>
    <t>com cores e dizeres conforme padrão da Prefeitura e do órgão fiscalizador</t>
  </si>
  <si>
    <t>a contratada será responsável também pela colocação, guarda e manutenção.</t>
  </si>
  <si>
    <t>Tapume de vedação</t>
  </si>
  <si>
    <t>Pelas características do local, e do grande acesso de público, se faz necessário o fechamento perimetral da obra</t>
  </si>
  <si>
    <t>considerou-se  :</t>
  </si>
  <si>
    <t>m (altura)</t>
  </si>
  <si>
    <t>m (extensão)</t>
  </si>
  <si>
    <t>área</t>
  </si>
  <si>
    <t>Retirada de piso intertravado</t>
  </si>
  <si>
    <t>será considerado a área construída das edificações, ou seja, acrescido de 1m</t>
  </si>
  <si>
    <t>Volume de entulho</t>
  </si>
  <si>
    <t>será considerado a área onde será construído, incluindo materiais diversos, com camada de 20cm</t>
  </si>
  <si>
    <t>retirada de porta de vidro</t>
  </si>
  <si>
    <t>retirada da porta de vidro externa, 2x2m</t>
  </si>
  <si>
    <t>retirada de esquadria metálica, com vidro</t>
  </si>
  <si>
    <t>retirada de esquadria metálica, com vidro, 2 janelas, 0.8x2.5m</t>
  </si>
  <si>
    <t>Escavação de valas</t>
  </si>
  <si>
    <t>como o terreno já se encontra estabilizado, será considerado fundação em estacas e baldrames.</t>
  </si>
  <si>
    <t>o baldrame terá o nível superior igual ao do terreno</t>
  </si>
  <si>
    <t>baldrame</t>
  </si>
  <si>
    <t>blocos de ancoragem</t>
  </si>
  <si>
    <t>und</t>
  </si>
  <si>
    <t>dimensão</t>
  </si>
  <si>
    <t>prof.</t>
  </si>
  <si>
    <t>m³</t>
  </si>
  <si>
    <t>volume escavação</t>
  </si>
  <si>
    <t>Escavação</t>
  </si>
  <si>
    <t>Para acerto do piso, será considerado uma escavação de 20cm</t>
  </si>
  <si>
    <t>escavação</t>
  </si>
  <si>
    <t>m² (área)</t>
  </si>
  <si>
    <t>Aterro compactado</t>
  </si>
  <si>
    <t>Para acerto do piso, será considerado uma camada de 10cm</t>
  </si>
  <si>
    <t>FUNDAÇÕES E ESTRUTURAS</t>
  </si>
  <si>
    <t>Estacas</t>
  </si>
  <si>
    <t>foram consideradas estacas a trado, sendo posicionadas nos cantos e vãos não superiores a 3m.</t>
  </si>
  <si>
    <t>a profundidade estimada foi de 4m.</t>
  </si>
  <si>
    <t>número de estacas</t>
  </si>
  <si>
    <t>prédio</t>
  </si>
  <si>
    <t>referentes às paredes internas</t>
  </si>
  <si>
    <t>m prof. média</t>
  </si>
  <si>
    <t>m prof. total</t>
  </si>
  <si>
    <t>acréscimo de 10%¨de margem de erro</t>
  </si>
  <si>
    <t>prof. total estimada</t>
  </si>
  <si>
    <t>(arrendondamento)</t>
  </si>
  <si>
    <t>Lastros</t>
  </si>
  <si>
    <t>considera-se um lastro de brita 2, em camada de 5cm em toda a extensão do baldrame</t>
  </si>
  <si>
    <t>m (extensão do baldrame)</t>
  </si>
  <si>
    <t>blocos</t>
  </si>
  <si>
    <t>m (espessura da camada)</t>
  </si>
  <si>
    <t>largura</t>
  </si>
  <si>
    <t>m (largura da vala)</t>
  </si>
  <si>
    <t>comp</t>
  </si>
  <si>
    <t xml:space="preserve">m³ </t>
  </si>
  <si>
    <t>Formas / cimbramentos / escoramentos</t>
  </si>
  <si>
    <t>forma de madeira para fundação</t>
  </si>
  <si>
    <t>considera-se forma com largura de 30cm, sendo usado no baldrame e nos blocos de estacas</t>
  </si>
  <si>
    <t>m (largura da tábua de forma)</t>
  </si>
  <si>
    <t>m² (área total)</t>
  </si>
  <si>
    <t>forma de madeira para vigas e pilares</t>
  </si>
  <si>
    <t>considerou-se pilares nos posicionamentos das estacas</t>
  </si>
  <si>
    <t>número de estacas=pilares</t>
  </si>
  <si>
    <t>m (largura da tábua da forma)</t>
  </si>
  <si>
    <t>m (altura do pilar)</t>
  </si>
  <si>
    <t>considera-se 5% de acréscimo para acertos</t>
  </si>
  <si>
    <r>
      <rPr>
        <sz val="11"/>
        <color rgb="FF000000"/>
        <rFont val="Calibri"/>
        <family val="2"/>
        <charset val="204"/>
      </rPr>
      <t>m²</t>
    </r>
    <r>
      <rPr>
        <i/>
        <sz val="8"/>
        <rFont val="Arial"/>
        <family val="2"/>
      </rPr>
      <t xml:space="preserve"> (arrendondamento)</t>
    </r>
  </si>
  <si>
    <t>m (extensão da viga)</t>
  </si>
  <si>
    <t>escoramento de lajes</t>
  </si>
  <si>
    <t>m² (area interna)</t>
  </si>
  <si>
    <t>m (altura do escoramento)</t>
  </si>
  <si>
    <t>m³ (volume do escoramento)</t>
  </si>
  <si>
    <t>Armaduras</t>
  </si>
  <si>
    <t>armação de aço para fundação</t>
  </si>
  <si>
    <r>
      <t xml:space="preserve">considerou-se uma estrutura do baldrame de 6 barras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 xml:space="preserve">10mm, estribo de 17x27 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>4.2mm com espaçamento de 15cm</t>
    </r>
  </si>
  <si>
    <t>foi considerado 3 barras de 2m para cada estaca</t>
  </si>
  <si>
    <t>número de barras do baldrame (peso de 7,4kg/barra-10mm)</t>
  </si>
  <si>
    <t>número de estribos (peso de 10kg/100 estribos)</t>
  </si>
  <si>
    <t>peso total</t>
  </si>
  <si>
    <t>armação de aço para estrutura - pilar</t>
  </si>
  <si>
    <r>
      <t xml:space="preserve">considerou-se uma estrutura de pilar de 4 barras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 xml:space="preserve">8mm, estribo de 9x22 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>4.2mm com espaçamento de 17cm</t>
    </r>
  </si>
  <si>
    <t>número de barras do pilar (peso de 4,7kg/barra-10mm)</t>
  </si>
  <si>
    <t>número de estribos (peso de 6,3kg/100 estribos)</t>
  </si>
  <si>
    <t>armação de aço para estrutura - viga</t>
  </si>
  <si>
    <r>
      <t xml:space="preserve">considerou-se uma estrutura acompanhando o baldrame,de 4 barras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 xml:space="preserve">8mm, estribo de 9x22 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>4.2mm com espaçamento de 17cm</t>
    </r>
  </si>
  <si>
    <t>m (extensão de vigas para as paredes internas)</t>
  </si>
  <si>
    <t>Laje pré-fabricada</t>
  </si>
  <si>
    <t>foi considerado laje mista beta 12 e beta 16</t>
  </si>
  <si>
    <t>beta 12</t>
  </si>
  <si>
    <t>m² (área medida em planta)</t>
  </si>
  <si>
    <t>beta 16</t>
  </si>
  <si>
    <t>Concretos</t>
  </si>
  <si>
    <t>foi considerado concreto usinado 20MPa</t>
  </si>
  <si>
    <t>volume do baldrame</t>
  </si>
  <si>
    <t>volume dos pilares</t>
  </si>
  <si>
    <t>volume considerado de percintas e vigas</t>
  </si>
  <si>
    <t>volume de concreto das lajes, considerando 5cm(média) de capa</t>
  </si>
  <si>
    <t>volume total</t>
  </si>
  <si>
    <t>IMPERMEABILIZAÇÃO E PROTEÇÕES DIVERSAS</t>
  </si>
  <si>
    <t>Impermeabilização com tinta betuminosa</t>
  </si>
  <si>
    <t>foi considerado pintura em toda a extensão do baldrame, numa camada de 30x20x30cm</t>
  </si>
  <si>
    <t>(arrendondamento )</t>
  </si>
  <si>
    <t>Impermeabilização de argamassa, sendo considerada as 3 primeiras fiadas</t>
  </si>
  <si>
    <t>m (extensão de paredes)</t>
  </si>
  <si>
    <t>m (espessura das paredes)</t>
  </si>
  <si>
    <t>m (espessura da argamassa de assentamento)</t>
  </si>
  <si>
    <t>m³(volume de massa)</t>
  </si>
  <si>
    <t>PAREDES / PAINÉIS</t>
  </si>
  <si>
    <t>Alvenaria de bloco de concreto de vedação</t>
  </si>
  <si>
    <t>será considerado as paredes sobre o baldrame, sem desconto de vãos e as paredes superiores da cobertura</t>
  </si>
  <si>
    <t>m (extensão de paredes novas)</t>
  </si>
  <si>
    <t>m (altura da parede)</t>
  </si>
  <si>
    <t>m (extensão de paredes-existente)</t>
  </si>
  <si>
    <t>m (extensão das paredes da cobertura)</t>
  </si>
  <si>
    <t>m (extensão do balcão de atendimento)</t>
  </si>
  <si>
    <t>m (altura do balcão de atendimento)</t>
  </si>
  <si>
    <t>m (extensão de paredes internas)</t>
  </si>
  <si>
    <t>m² total</t>
  </si>
  <si>
    <t>ESQUADRIAS / FERRAGENS / VIDROS</t>
  </si>
  <si>
    <t>Porta madeira lisa com batente</t>
  </si>
  <si>
    <t>foi considerado porta externa, com vão de 0,90m, incluindo dobradiças e fechaduras</t>
  </si>
  <si>
    <t>und. Arquivo</t>
  </si>
  <si>
    <t>und. Odontologia</t>
  </si>
  <si>
    <t>und. Internas</t>
  </si>
  <si>
    <t>Janela de ferro, tipo maxi-ar</t>
  </si>
  <si>
    <t>conforme detalhe em projeto, tem-se:</t>
  </si>
  <si>
    <t>espec.</t>
  </si>
  <si>
    <t>quant.</t>
  </si>
  <si>
    <t>larg</t>
  </si>
  <si>
    <t>altura</t>
  </si>
  <si>
    <t>V1</t>
  </si>
  <si>
    <t>V2</t>
  </si>
  <si>
    <t>V3</t>
  </si>
  <si>
    <t>V4</t>
  </si>
  <si>
    <t>área total:</t>
  </si>
  <si>
    <t>Vidro</t>
  </si>
  <si>
    <t>será considerado a mesma área das janelas</t>
  </si>
  <si>
    <t>Porta de vidro temperado, incolor, 10mm</t>
  </si>
  <si>
    <t>P2</t>
  </si>
  <si>
    <t>Madeiramento</t>
  </si>
  <si>
    <t>será considerado a mesma área da laje, ou seja:</t>
  </si>
  <si>
    <t>Telhamento em cimento reforçado com fio sintético (CRFS)</t>
  </si>
  <si>
    <t>Cumeeira normal em cimento reforçado com fio sintético CRFS - perfil modulado</t>
  </si>
  <si>
    <t>m de extensão</t>
  </si>
  <si>
    <t>m (total)</t>
  </si>
  <si>
    <t>Calha metálica</t>
  </si>
  <si>
    <t>como o telhado será todo embutido, considerou-se o uso de calha e rufo em todo o entorno</t>
  </si>
  <si>
    <t>INSTALAÇÃO ELÉTRICA / ELETRIFICAÇÃO E ILUMINAÇÃO</t>
  </si>
  <si>
    <t>Quadro / disjuntores</t>
  </si>
  <si>
    <t xml:space="preserve">será considerado um quadro de distribuição </t>
  </si>
  <si>
    <t>Disjuntores</t>
  </si>
  <si>
    <t>será considerado 2 disjuntores para iluminação, e 2 disjuntores para tomadas de uso geral</t>
  </si>
  <si>
    <t>disjuntor unipolar de 10A</t>
  </si>
  <si>
    <t>disjuntor unipolar de 40A para compressor de ar</t>
  </si>
  <si>
    <t>Eletroduto / calhas para leito de cabos</t>
  </si>
  <si>
    <t>eletroduto flexível</t>
  </si>
  <si>
    <t>será considerado 2,5m de eletroduto para cada tomada, interruptor e arandela</t>
  </si>
  <si>
    <t>tomada</t>
  </si>
  <si>
    <t>interruptor</t>
  </si>
  <si>
    <t>arandela</t>
  </si>
  <si>
    <t>m (eletroduto flexivel)</t>
  </si>
  <si>
    <t>eletroduto de aço galvanizado</t>
  </si>
  <si>
    <t>será considerado a interligação entre o prédio existente e a caixa de interligação, sendo 2 tubulações em paralelo</t>
  </si>
  <si>
    <t>distancia :</t>
  </si>
  <si>
    <t>m</t>
  </si>
  <si>
    <t>m (distancia total)</t>
  </si>
  <si>
    <t>m (eletroduto)</t>
  </si>
  <si>
    <t>Fios / cabos</t>
  </si>
  <si>
    <t xml:space="preserve">será considerado 2 fios, com comprimento de 3m cada para interruptor e 2 fios de 2m cada para luminárias </t>
  </si>
  <si>
    <t>ítem</t>
  </si>
  <si>
    <t>quant</t>
  </si>
  <si>
    <t>m (fio)</t>
  </si>
  <si>
    <t>luminária</t>
  </si>
  <si>
    <r>
      <t>m  2,5mm²</t>
    </r>
    <r>
      <rPr>
        <i/>
        <sz val="8"/>
        <rFont val="Arial"/>
        <family val="2"/>
      </rPr>
      <t>(arredondado)</t>
    </r>
  </si>
  <si>
    <t xml:space="preserve">será considerado 3 fios com 3m cada para tomada </t>
  </si>
  <si>
    <r>
      <t>m  6,0mm²</t>
    </r>
    <r>
      <rPr>
        <i/>
        <sz val="8"/>
        <rFont val="Arial"/>
        <family val="2"/>
      </rPr>
      <t>(arredondado)</t>
    </r>
  </si>
  <si>
    <t>cabo flexível</t>
  </si>
  <si>
    <t>será considerado a interligação entre o prédio existente e a caixa de interligação, sendo 3 tubulações em paralelo</t>
  </si>
  <si>
    <t>m 25mm²</t>
  </si>
  <si>
    <t>INSTALAÇÕES HIDRO-SANITÁRIAS</t>
  </si>
  <si>
    <t>Aparelhos sanitários, louças, metais e outros</t>
  </si>
  <si>
    <t>Cuba em aço inoxidável</t>
  </si>
  <si>
    <t>odontologia</t>
  </si>
  <si>
    <t>Bancada de granito</t>
  </si>
  <si>
    <t>bancada de granito, conforme projeto, tem-se:</t>
  </si>
  <si>
    <t>quant. (m)</t>
  </si>
  <si>
    <t>comum</t>
  </si>
  <si>
    <t>Metais saintários</t>
  </si>
  <si>
    <t>será considerado 1 torneira para cada ambiente</t>
  </si>
  <si>
    <t xml:space="preserve">quant. </t>
  </si>
  <si>
    <t>bica móvel</t>
  </si>
  <si>
    <t>recepção</t>
  </si>
  <si>
    <t>bebedouro</t>
  </si>
  <si>
    <t>Ralos / caixa sifonada</t>
  </si>
  <si>
    <t>será considerado 1 ralo para cada ambiente</t>
  </si>
  <si>
    <t>Registros / válvulas</t>
  </si>
  <si>
    <t>será considerado 1 registro para cada conjunto de sanitários</t>
  </si>
  <si>
    <t>Fornecimento e assentamento de tubos p/ instalação domiciliar</t>
  </si>
  <si>
    <t>será considerado 6 metros de tubo 40mm para cada ambiente</t>
  </si>
  <si>
    <t>será considerado 6 metros de tubo 50mm para cada ambiente</t>
  </si>
  <si>
    <t>40mm</t>
  </si>
  <si>
    <t>50mm</t>
  </si>
  <si>
    <t>1 pia e 1 cadeira</t>
  </si>
  <si>
    <t>será considerado 6 metros de tubo 25mm para cada ambiente</t>
  </si>
  <si>
    <t>25mm</t>
  </si>
  <si>
    <t>Fornecimento e assentamento de tubos de cobre para alimentação da cadeira odontológica</t>
  </si>
  <si>
    <t>20mm</t>
  </si>
  <si>
    <t>REVESTIMENTO E TRATAMENTO DE SUPERFÍCIES</t>
  </si>
  <si>
    <t>Chapisco</t>
  </si>
  <si>
    <t>chapisco em parede-não serão descontados vãos de portas e janelas</t>
  </si>
  <si>
    <t>extensão de parede</t>
  </si>
  <si>
    <t>extensão</t>
  </si>
  <si>
    <t>ambientes internos</t>
  </si>
  <si>
    <t>balcão</t>
  </si>
  <si>
    <t xml:space="preserve">externo </t>
  </si>
  <si>
    <t>externo telhado</t>
  </si>
  <si>
    <t>área total</t>
  </si>
  <si>
    <r>
      <t xml:space="preserve">m² </t>
    </r>
    <r>
      <rPr>
        <i/>
        <sz val="8"/>
        <rFont val="Arial"/>
        <family val="2"/>
      </rPr>
      <t>(arredondado)</t>
    </r>
  </si>
  <si>
    <t>chapisco em teto-não serão descontados vãos, com aplicação de bianco</t>
  </si>
  <si>
    <t>medido em projeto</t>
  </si>
  <si>
    <t>Emboço</t>
  </si>
  <si>
    <t>será considerado emboço em todas as paredes e no teto, mantendo-se a mesma área do chapisco</t>
  </si>
  <si>
    <t>item</t>
  </si>
  <si>
    <t>parede</t>
  </si>
  <si>
    <t>laje</t>
  </si>
  <si>
    <t>revestimento ceramico</t>
  </si>
  <si>
    <t>externo caixa d'agua</t>
  </si>
  <si>
    <t>PISOS</t>
  </si>
  <si>
    <t>Regularização e/ou compactação</t>
  </si>
  <si>
    <t>será considerado a área interna e a externa, conforme projeto</t>
  </si>
  <si>
    <t>altura de regularização</t>
  </si>
  <si>
    <t>volume</t>
  </si>
  <si>
    <t>Lastro de pedra britada</t>
  </si>
  <si>
    <t>será considerado a mesma área de regularização</t>
  </si>
  <si>
    <t>lastro de concreto impermeabilizado</t>
  </si>
  <si>
    <t>argamassa de regularização de contra-piso</t>
  </si>
  <si>
    <t>Piso cerâmico</t>
  </si>
  <si>
    <t>será considerado a mesma área de regularização, sem desconto das paredes, de modo a considerar rodapé</t>
  </si>
  <si>
    <t>rodapé cerâmico</t>
  </si>
  <si>
    <t>será considerado a extensão das paredes internas e o balcão</t>
  </si>
  <si>
    <t>ml</t>
  </si>
  <si>
    <t>Soleira marmore / granito</t>
  </si>
  <si>
    <t>será considerado o uso de soleiras sob as portas de acesso, com extensão média de 90cm cada</t>
  </si>
  <si>
    <t xml:space="preserve"> ambientes</t>
  </si>
  <si>
    <t>entrada principal</t>
  </si>
  <si>
    <t>PINTURAS</t>
  </si>
  <si>
    <t>Massa Corrida</t>
  </si>
  <si>
    <t>será considerado aplicação, até 2m, na sala de odontologia</t>
  </si>
  <si>
    <t>pintura latex acrílico, em todas as paredes, exceto o balcão e 1 das paredes da recepção</t>
  </si>
  <si>
    <t>será considerado a mesma área de chapisco</t>
  </si>
  <si>
    <t>será considerado a pintura externa do prédio inteiro, visto que a a pintura existente já possui mais de 4 anos</t>
  </si>
  <si>
    <t>pintura com textura acrílica</t>
  </si>
  <si>
    <t>será considerado a parede do balcão e 1 parede da recepção</t>
  </si>
  <si>
    <t>Pintura em madeira</t>
  </si>
  <si>
    <t xml:space="preserve">será aplicado pintura esmalte nas portas de acesso. </t>
  </si>
  <si>
    <t>a altura da porta é de 2,10m, sendo aplicado dos dois lados</t>
  </si>
  <si>
    <t>ambientes</t>
  </si>
  <si>
    <t>Pintura em metal</t>
  </si>
  <si>
    <t xml:space="preserve">será aplicado pintura esmalte nas janelas, sendo considerado os dois lados. </t>
  </si>
  <si>
    <t>a área é a mesma dos caixilhos</t>
  </si>
  <si>
    <t>INSTALAÇÕES ESPECIAIS</t>
  </si>
  <si>
    <t>Incêndio</t>
  </si>
  <si>
    <t>extrintor</t>
  </si>
  <si>
    <t xml:space="preserve">será considerado 2 conjunto de extintores </t>
  </si>
  <si>
    <t>Luminária de emergência</t>
  </si>
  <si>
    <t xml:space="preserve">será considerado 1 luminária para cada ambiente </t>
  </si>
  <si>
    <t>SERVIÇOS COMPLEMENTARES</t>
  </si>
  <si>
    <t>Limpeza geral da obra</t>
  </si>
  <si>
    <t>será considerado a área total da construção</t>
  </si>
  <si>
    <t>2.1</t>
  </si>
  <si>
    <t xml:space="preserve">BDI = </t>
  </si>
  <si>
    <t>(s/ BDI)</t>
  </si>
  <si>
    <t>(c/ BDI)</t>
  </si>
  <si>
    <t>un.</t>
  </si>
  <si>
    <t>1.1</t>
  </si>
  <si>
    <t>UN.</t>
  </si>
  <si>
    <t>VALOR UNIT.</t>
  </si>
  <si>
    <t>VALOR TOTAL</t>
  </si>
  <si>
    <t>(valor calculado conforme acordão 2622/2013 - TCU)</t>
  </si>
  <si>
    <t>Placa de identificação para obra</t>
  </si>
  <si>
    <t>RECAPEAMENTO</t>
  </si>
  <si>
    <t>ENSAIO DE PENETRACAO - MATERIAL BETUMINOSO</t>
  </si>
  <si>
    <t>74022/1</t>
  </si>
  <si>
    <t>ENSAIO DE CONTROLE DE TAXA DE APLICACAO DE LIGANTE BETUMINOSO</t>
  </si>
  <si>
    <t xml:space="preserve">TOTAL GERAL = </t>
  </si>
  <si>
    <t>MÊS 1</t>
  </si>
  <si>
    <t>MÊS 2</t>
  </si>
  <si>
    <t>MÊS 3</t>
  </si>
  <si>
    <t>MÊS 4</t>
  </si>
  <si>
    <t>1.2</t>
  </si>
  <si>
    <t xml:space="preserve">TOTAL = </t>
  </si>
  <si>
    <t>Composição 1</t>
  </si>
  <si>
    <t>Composição 2</t>
  </si>
  <si>
    <t>Data da Proposta :</t>
  </si>
  <si>
    <t>Validade da Proposta:</t>
  </si>
  <si>
    <t xml:space="preserve">Concorrência Pública nº </t>
  </si>
  <si>
    <t>74022/27</t>
  </si>
  <si>
    <t xml:space="preserve">subtotal = </t>
  </si>
  <si>
    <t>Proposta de preço com fornecimento de materiais, mão de obra e equipamentos</t>
  </si>
  <si>
    <t>dias</t>
  </si>
  <si>
    <t>(dd/mm/aaaa)</t>
  </si>
  <si>
    <t>/2.018</t>
  </si>
  <si>
    <t>Objeto:</t>
  </si>
  <si>
    <t>Dados da licitante:</t>
  </si>
  <si>
    <t>Bairro:</t>
  </si>
  <si>
    <t>Município   :</t>
  </si>
  <si>
    <t>Razão Social :</t>
  </si>
  <si>
    <t>Endereço:</t>
  </si>
  <si>
    <t>UF:</t>
  </si>
  <si>
    <t>Nome:</t>
  </si>
  <si>
    <t xml:space="preserve">C. P. F. nº </t>
  </si>
  <si>
    <t>CNPJ nº:</t>
  </si>
  <si>
    <t>Responsável pela apresentação da proposta (responsável legal da porponente):</t>
  </si>
  <si>
    <t>Assinatura</t>
  </si>
  <si>
    <t>Valor da proposta (por extenso):</t>
  </si>
  <si>
    <t>Responsável Técnico :</t>
  </si>
  <si>
    <t>Título :</t>
  </si>
  <si>
    <t>Inscrição no Conselho :</t>
  </si>
  <si>
    <t>ANEXO IV - Proposta de Preços (Planilha Orçamentária)</t>
  </si>
  <si>
    <t>ANEXO V - Cronograma Físico Financeiro</t>
  </si>
  <si>
    <t>Data do Cronograma :</t>
  </si>
  <si>
    <t>CUSTO DO ITEM</t>
  </si>
  <si>
    <t>Prestação de serviços de recapeamento de vias públicas</t>
  </si>
  <si>
    <t>Tomada de Preços nº</t>
  </si>
  <si>
    <t>PLACA DE OBRA</t>
  </si>
  <si>
    <t>TRANSPORTE COMERCIAL COM CAMINHAO BASCULANTE 6 M3, RODOVIA PAVIMENTADA</t>
  </si>
  <si>
    <t>1.1.1</t>
  </si>
  <si>
    <t>1.2.1</t>
  </si>
  <si>
    <t>1.2.2</t>
  </si>
  <si>
    <t>1.2.3</t>
  </si>
  <si>
    <t>1.2.4</t>
  </si>
  <si>
    <t>1.2.5</t>
  </si>
  <si>
    <t>1.2.6</t>
  </si>
  <si>
    <t>CÓDIGO SINAPI E COMPOSIÇÃO</t>
  </si>
  <si>
    <t>74209/1</t>
  </si>
  <si>
    <t>CARGA, MANOBRAS E DESCARGA DE MISTURA BETUMINOSA A QUENTE, COM CAMINHAO BASCULANTE 6 M3, DESCARGA EM VIBRO-ACABADORA</t>
  </si>
  <si>
    <t>PINTURA DE LIGACAO COM EMULSAO RR-2C</t>
  </si>
  <si>
    <t>CONSTRUÇÃO DE PAVIMENTO COM APLICAÇÃO DE CONCRETO BETUMINOSO USINADO A QUENTE (CBUQ), CAMADA DE ROLAMENTO, COM ESPESSURA DE 3,0 CM - EXCLUSIVE TRANSPORTE. AF_03/2017</t>
  </si>
  <si>
    <t>SINALIZAÇÃO VIÁRIA</t>
  </si>
  <si>
    <t>m³xkm</t>
  </si>
  <si>
    <t>SINALIZAÇÃO VERTICAL</t>
  </si>
  <si>
    <t>2.1.1</t>
  </si>
  <si>
    <t>2.1.2</t>
  </si>
  <si>
    <t>VEJA COMENTÁRIO AQUI</t>
  </si>
  <si>
    <t>Locais: Rua Tomaz Jasso, rua Vigato, rua Fracheta e rua Lanzoni</t>
  </si>
  <si>
    <t>EXECUÇÃO DO RECAPEAMENTO</t>
  </si>
  <si>
    <t>Composição 3</t>
  </si>
  <si>
    <t>Composição 4</t>
  </si>
  <si>
    <t>Composição 5</t>
  </si>
  <si>
    <t>2.1.3</t>
  </si>
  <si>
    <t>2.1.4</t>
  </si>
  <si>
    <t>2.1.5</t>
  </si>
  <si>
    <t>Fornecimento e instalação de placa de sinalização vertical completa, incluindo poste (suporte)</t>
  </si>
  <si>
    <t>peça</t>
  </si>
  <si>
    <t>Composição do BDI conforme regras do Acórdão 2.622/2.013 do Tribunal de Contas da União</t>
  </si>
  <si>
    <t>LIMITES RECOMENDADOS</t>
  </si>
  <si>
    <t>SIGLA</t>
  </si>
  <si>
    <t>VALOR</t>
  </si>
  <si>
    <t>INFERIOR</t>
  </si>
  <si>
    <t>SUPERIOR</t>
  </si>
  <si>
    <t>TAXA DE RATEIO DA ADMINISTRAÇÃO CENTRAL</t>
  </si>
  <si>
    <t>AC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</si>
  <si>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</si>
  <si>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</si>
  <si>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</si>
  <si>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</si>
  <si>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</si>
  <si>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</si>
  <si>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</si>
  <si>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</si>
  <si>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</si>
  <si>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</si>
  <si>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</si>
  <si>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</si>
  <si>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</si>
  <si>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</si>
  <si>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</si>
  <si>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BDI conforme Acórdão 2622/2013 - TCU</t>
  </si>
  <si>
    <t>BDI RESULTANTE</t>
  </si>
  <si>
    <t>Fórmula Utilizada:</t>
  </si>
  <si>
    <t>(1+AC+S+R+G)(1+DF)(1+L)</t>
  </si>
  <si>
    <t>(1-I)</t>
  </si>
  <si>
    <t>Responsável:</t>
  </si>
  <si>
    <t>R. G. :</t>
  </si>
  <si>
    <t>Local e data:</t>
  </si>
  <si>
    <r>
      <t xml:space="preserve">Obra: Recapeamento de Ruas - 8.121,20m²                       </t>
    </r>
    <r>
      <rPr>
        <sz val="12"/>
        <rFont val="Arial"/>
        <family val="2"/>
      </rPr>
      <t>prazo de obra: 30 dias</t>
    </r>
  </si>
  <si>
    <t>Reservado para finalização de documentação para apresentação aos órgãos de controle, recebimento provisório e definitivo da obra e demais atividades burocráticas. O período de realização da obra deverá estar restrrito aos 30 (trinta) dias, constantes do mês "1" deste cronograma.</t>
  </si>
  <si>
    <t>ANEXO IV-A - Composição do BDI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</si>
</sst>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.00_);_(* \(#,##0.00\);_(* \-??_);_(@_)"/>
    <numFmt numFmtId="166" formatCode="0.0"/>
    <numFmt numFmtId="167" formatCode="0.0000"/>
  </numFmts>
  <fonts count="38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indexed="18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1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97">
    <xf numFmtId="0" fontId="0" fillId="0" borderId="0" xfId="0"/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3" fillId="0" borderId="0" xfId="0" applyFont="1" applyBorder="1"/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3" borderId="7" xfId="0" applyFont="1" applyFill="1" applyBorder="1"/>
    <xf numFmtId="0" fontId="0" fillId="3" borderId="7" xfId="0" applyFill="1" applyBorder="1"/>
    <xf numFmtId="0" fontId="12" fillId="0" borderId="0" xfId="0" applyFont="1"/>
    <xf numFmtId="0" fontId="0" fillId="0" borderId="0" xfId="0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166" fontId="0" fillId="0" borderId="0" xfId="0" applyNumberFormat="1"/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Font="1" applyBorder="1"/>
    <xf numFmtId="1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/>
    <xf numFmtId="0" fontId="0" fillId="0" borderId="0" xfId="0" applyFont="1" applyBorder="1"/>
    <xf numFmtId="0" fontId="3" fillId="0" borderId="0" xfId="0" applyFont="1"/>
    <xf numFmtId="0" fontId="13" fillId="0" borderId="0" xfId="0" applyFont="1"/>
    <xf numFmtId="1" fontId="3" fillId="0" borderId="0" xfId="0" applyNumberFormat="1" applyFont="1"/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166" fontId="3" fillId="0" borderId="0" xfId="0" applyNumberFormat="1" applyFont="1"/>
    <xf numFmtId="2" fontId="3" fillId="0" borderId="0" xfId="0" applyNumberFormat="1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right" vertical="center"/>
    </xf>
    <xf numFmtId="166" fontId="0" fillId="0" borderId="0" xfId="0" applyNumberFormat="1" applyFont="1" applyAlignment="1">
      <alignment horizontal="center" vertical="center"/>
    </xf>
    <xf numFmtId="166" fontId="0" fillId="0" borderId="4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" fillId="0" borderId="0" xfId="1" applyNumberFormat="1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2" fontId="17" fillId="0" borderId="0" xfId="0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2" fontId="17" fillId="0" borderId="0" xfId="0" applyNumberFormat="1" applyFont="1" applyFill="1" applyBorder="1" applyAlignment="1" applyProtection="1">
      <alignment horizontal="center" vertical="center"/>
    </xf>
    <xf numFmtId="4" fontId="17" fillId="0" borderId="0" xfId="1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horizontal="center" vertical="center"/>
    </xf>
    <xf numFmtId="4" fontId="17" fillId="0" borderId="0" xfId="1" applyNumberFormat="1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7" fillId="0" borderId="0" xfId="1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1" fontId="16" fillId="0" borderId="0" xfId="0" applyNumberFormat="1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0" borderId="12" xfId="0" applyFont="1" applyFill="1" applyBorder="1" applyAlignment="1" applyProtection="1">
      <alignment horizontal="left" vertical="center"/>
    </xf>
    <xf numFmtId="0" fontId="16" fillId="0" borderId="15" xfId="0" applyFont="1" applyFill="1" applyBorder="1" applyAlignment="1" applyProtection="1">
      <alignment horizontal="left" vertical="center"/>
    </xf>
    <xf numFmtId="1" fontId="16" fillId="0" borderId="15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2" fontId="17" fillId="0" borderId="0" xfId="0" applyNumberFormat="1" applyFont="1" applyFill="1" applyAlignment="1" applyProtection="1">
      <alignment horizontal="center" vertical="center"/>
      <protection locked="0"/>
    </xf>
    <xf numFmtId="4" fontId="17" fillId="0" borderId="0" xfId="1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</xf>
    <xf numFmtId="0" fontId="23" fillId="2" borderId="25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4" fontId="7" fillId="0" borderId="0" xfId="1" applyNumberFormat="1" applyFont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4" fontId="17" fillId="0" borderId="0" xfId="1" applyNumberFormat="1" applyFont="1" applyFill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4" fontId="17" fillId="0" borderId="0" xfId="1" applyNumberFormat="1" applyFont="1" applyBorder="1" applyAlignment="1">
      <alignment horizontal="right" vertical="center"/>
    </xf>
    <xf numFmtId="165" fontId="32" fillId="0" borderId="0" xfId="1" applyNumberFormat="1" applyFont="1" applyFill="1" applyBorder="1" applyAlignment="1" applyProtection="1">
      <alignment vertical="center" wrapText="1"/>
    </xf>
    <xf numFmtId="0" fontId="35" fillId="0" borderId="6" xfId="0" applyFont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 vertical="center"/>
    </xf>
    <xf numFmtId="0" fontId="36" fillId="0" borderId="23" xfId="0" applyFont="1" applyFill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9" fontId="18" fillId="0" borderId="0" xfId="3" applyFont="1" applyBorder="1" applyAlignment="1">
      <alignment horizontal="center" vertical="center"/>
    </xf>
    <xf numFmtId="9" fontId="18" fillId="0" borderId="0" xfId="3" applyFont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18" fillId="0" borderId="0" xfId="0" applyNumberFormat="1" applyFont="1" applyAlignment="1">
      <alignment vertical="center"/>
    </xf>
    <xf numFmtId="0" fontId="22" fillId="0" borderId="0" xfId="0" applyFont="1" applyBorder="1" applyAlignment="1" applyProtection="1">
      <alignment vertical="center"/>
    </xf>
    <xf numFmtId="165" fontId="4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10" fontId="10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2" fontId="3" fillId="5" borderId="17" xfId="1" applyNumberFormat="1" applyFont="1" applyFill="1" applyBorder="1" applyAlignment="1" applyProtection="1">
      <alignment horizontal="center" vertical="center" textRotation="45" wrapText="1"/>
    </xf>
    <xf numFmtId="2" fontId="3" fillId="5" borderId="16" xfId="1" applyNumberFormat="1" applyFont="1" applyFill="1" applyBorder="1" applyAlignment="1" applyProtection="1">
      <alignment horizontal="center" vertical="center" textRotation="45" wrapText="1"/>
    </xf>
    <xf numFmtId="2" fontId="3" fillId="5" borderId="18" xfId="1" applyNumberFormat="1" applyFont="1" applyFill="1" applyBorder="1" applyAlignment="1" applyProtection="1">
      <alignment horizontal="center" vertical="center" textRotation="45" wrapText="1"/>
    </xf>
    <xf numFmtId="2" fontId="3" fillId="5" borderId="9" xfId="1" applyNumberFormat="1" applyFont="1" applyFill="1" applyBorder="1" applyAlignment="1" applyProtection="1">
      <alignment horizontal="center" vertical="center" textRotation="45" wrapText="1"/>
    </xf>
    <xf numFmtId="2" fontId="3" fillId="5" borderId="0" xfId="1" applyNumberFormat="1" applyFont="1" applyFill="1" applyBorder="1" applyAlignment="1" applyProtection="1">
      <alignment horizontal="center" vertical="center" textRotation="45" wrapText="1"/>
    </xf>
    <xf numFmtId="2" fontId="3" fillId="5" borderId="22" xfId="1" applyNumberFormat="1" applyFont="1" applyFill="1" applyBorder="1" applyAlignment="1" applyProtection="1">
      <alignment horizontal="center" vertical="center" textRotation="45" wrapText="1"/>
    </xf>
    <xf numFmtId="2" fontId="3" fillId="5" borderId="12" xfId="1" applyNumberFormat="1" applyFont="1" applyFill="1" applyBorder="1" applyAlignment="1" applyProtection="1">
      <alignment horizontal="center" vertical="center" textRotation="45" wrapText="1"/>
    </xf>
    <xf numFmtId="2" fontId="3" fillId="5" borderId="15" xfId="1" applyNumberFormat="1" applyFont="1" applyFill="1" applyBorder="1" applyAlignment="1" applyProtection="1">
      <alignment horizontal="center" vertical="center" textRotation="45" wrapText="1"/>
    </xf>
    <xf numFmtId="2" fontId="3" fillId="5" borderId="19" xfId="1" applyNumberFormat="1" applyFont="1" applyFill="1" applyBorder="1" applyAlignment="1" applyProtection="1">
      <alignment horizontal="center" vertical="center" textRotation="45" wrapText="1"/>
    </xf>
    <xf numFmtId="0" fontId="23" fillId="2" borderId="25" xfId="0" applyFont="1" applyFill="1" applyBorder="1" applyAlignment="1" applyProtection="1">
      <alignment horizontal="left" vertical="center" wrapText="1"/>
    </xf>
    <xf numFmtId="0" fontId="23" fillId="2" borderId="24" xfId="0" applyFont="1" applyFill="1" applyBorder="1" applyAlignment="1" applyProtection="1">
      <alignment horizontal="left" vertical="center" wrapText="1"/>
    </xf>
    <xf numFmtId="43" fontId="3" fillId="5" borderId="17" xfId="1" applyNumberFormat="1" applyFont="1" applyFill="1" applyBorder="1" applyAlignment="1" applyProtection="1">
      <alignment horizontal="center" vertical="center"/>
    </xf>
    <xf numFmtId="43" fontId="3" fillId="5" borderId="16" xfId="1" applyNumberFormat="1" applyFont="1" applyFill="1" applyBorder="1" applyAlignment="1" applyProtection="1">
      <alignment horizontal="center" vertical="center"/>
    </xf>
    <xf numFmtId="43" fontId="3" fillId="5" borderId="18" xfId="1" applyNumberFormat="1" applyFont="1" applyFill="1" applyBorder="1" applyAlignment="1" applyProtection="1">
      <alignment horizontal="center" vertical="center"/>
    </xf>
    <xf numFmtId="43" fontId="3" fillId="5" borderId="9" xfId="1" applyNumberFormat="1" applyFont="1" applyFill="1" applyBorder="1" applyAlignment="1" applyProtection="1">
      <alignment horizontal="center" vertical="center"/>
    </xf>
    <xf numFmtId="43" fontId="3" fillId="5" borderId="0" xfId="1" applyNumberFormat="1" applyFont="1" applyFill="1" applyBorder="1" applyAlignment="1" applyProtection="1">
      <alignment horizontal="center" vertical="center"/>
    </xf>
    <xf numFmtId="43" fontId="3" fillId="5" borderId="22" xfId="1" applyNumberFormat="1" applyFont="1" applyFill="1" applyBorder="1" applyAlignment="1" applyProtection="1">
      <alignment horizontal="center" vertical="center"/>
    </xf>
    <xf numFmtId="43" fontId="3" fillId="5" borderId="12" xfId="1" applyNumberFormat="1" applyFont="1" applyFill="1" applyBorder="1" applyAlignment="1" applyProtection="1">
      <alignment horizontal="center" vertical="center"/>
    </xf>
    <xf numFmtId="43" fontId="3" fillId="5" borderId="15" xfId="1" applyNumberFormat="1" applyFont="1" applyFill="1" applyBorder="1" applyAlignment="1" applyProtection="1">
      <alignment horizontal="center" vertical="center"/>
    </xf>
    <xf numFmtId="43" fontId="3" fillId="5" borderId="19" xfId="1" applyNumberFormat="1" applyFont="1" applyFill="1" applyBorder="1" applyAlignment="1" applyProtection="1">
      <alignment horizontal="center" vertical="center"/>
    </xf>
    <xf numFmtId="3" fontId="7" fillId="6" borderId="7" xfId="1" applyNumberFormat="1" applyFont="1" applyFill="1" applyBorder="1" applyAlignment="1" applyProtection="1">
      <alignment horizontal="left" vertical="center"/>
      <protection locked="0"/>
    </xf>
    <xf numFmtId="14" fontId="7" fillId="6" borderId="0" xfId="1" applyNumberFormat="1" applyFont="1" applyFill="1" applyBorder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</xf>
    <xf numFmtId="0" fontId="27" fillId="4" borderId="23" xfId="0" applyFont="1" applyFill="1" applyBorder="1" applyAlignment="1" applyProtection="1">
      <alignment horizontal="right" vertical="center"/>
    </xf>
    <xf numFmtId="0" fontId="27" fillId="4" borderId="25" xfId="0" applyFont="1" applyFill="1" applyBorder="1" applyAlignment="1" applyProtection="1">
      <alignment horizontal="right" vertical="center"/>
    </xf>
    <xf numFmtId="0" fontId="27" fillId="4" borderId="24" xfId="0" applyFont="1" applyFill="1" applyBorder="1" applyAlignment="1" applyProtection="1">
      <alignment horizontal="right" vertical="center"/>
    </xf>
    <xf numFmtId="0" fontId="27" fillId="4" borderId="17" xfId="0" applyFont="1" applyFill="1" applyBorder="1" applyAlignment="1" applyProtection="1">
      <alignment horizontal="right" vertical="center"/>
    </xf>
    <xf numFmtId="0" fontId="27" fillId="4" borderId="16" xfId="0" applyFont="1" applyFill="1" applyBorder="1" applyAlignment="1" applyProtection="1">
      <alignment horizontal="right" vertical="center"/>
    </xf>
    <xf numFmtId="0" fontId="27" fillId="4" borderId="18" xfId="0" applyFont="1" applyFill="1" applyBorder="1" applyAlignment="1" applyProtection="1">
      <alignment horizontal="right" vertical="center"/>
    </xf>
    <xf numFmtId="4" fontId="19" fillId="5" borderId="9" xfId="1" applyNumberFormat="1" applyFont="1" applyFill="1" applyBorder="1" applyAlignment="1" applyProtection="1">
      <alignment horizontal="right" vertical="center"/>
    </xf>
    <xf numFmtId="4" fontId="19" fillId="5" borderId="0" xfId="1" applyNumberFormat="1" applyFont="1" applyFill="1" applyBorder="1" applyAlignment="1" applyProtection="1">
      <alignment horizontal="right" vertical="center"/>
    </xf>
    <xf numFmtId="4" fontId="19" fillId="5" borderId="22" xfId="1" applyNumberFormat="1" applyFont="1" applyFill="1" applyBorder="1" applyAlignment="1" applyProtection="1">
      <alignment horizontal="right" vertical="center"/>
    </xf>
    <xf numFmtId="4" fontId="19" fillId="5" borderId="12" xfId="1" applyNumberFormat="1" applyFont="1" applyFill="1" applyBorder="1" applyAlignment="1" applyProtection="1">
      <alignment horizontal="right" vertical="center"/>
    </xf>
    <xf numFmtId="4" fontId="19" fillId="5" borderId="15" xfId="1" applyNumberFormat="1" applyFont="1" applyFill="1" applyBorder="1" applyAlignment="1" applyProtection="1">
      <alignment horizontal="right" vertical="center"/>
    </xf>
    <xf numFmtId="4" fontId="19" fillId="5" borderId="19" xfId="1" applyNumberFormat="1" applyFont="1" applyFill="1" applyBorder="1" applyAlignment="1" applyProtection="1">
      <alignment horizontal="right" vertical="center"/>
    </xf>
    <xf numFmtId="0" fontId="20" fillId="5" borderId="9" xfId="0" applyFont="1" applyFill="1" applyBorder="1" applyAlignment="1" applyProtection="1">
      <alignment horizontal="right" vertical="center" wrapText="1"/>
    </xf>
    <xf numFmtId="0" fontId="20" fillId="5" borderId="0" xfId="0" applyFont="1" applyFill="1" applyBorder="1" applyAlignment="1" applyProtection="1">
      <alignment horizontal="right" vertical="center" wrapText="1"/>
    </xf>
    <xf numFmtId="0" fontId="20" fillId="5" borderId="22" xfId="0" applyFont="1" applyFill="1" applyBorder="1" applyAlignment="1" applyProtection="1">
      <alignment horizontal="right" vertical="center" wrapText="1"/>
    </xf>
    <xf numFmtId="0" fontId="20" fillId="5" borderId="12" xfId="0" applyFont="1" applyFill="1" applyBorder="1" applyAlignment="1" applyProtection="1">
      <alignment horizontal="right" vertical="center" wrapText="1"/>
    </xf>
    <xf numFmtId="0" fontId="20" fillId="5" borderId="15" xfId="0" applyFont="1" applyFill="1" applyBorder="1" applyAlignment="1" applyProtection="1">
      <alignment horizontal="right" vertical="center" wrapText="1"/>
    </xf>
    <xf numFmtId="0" fontId="20" fillId="5" borderId="19" xfId="0" applyFont="1" applyFill="1" applyBorder="1" applyAlignment="1" applyProtection="1">
      <alignment horizontal="right" vertical="center" wrapText="1"/>
    </xf>
    <xf numFmtId="4" fontId="7" fillId="0" borderId="0" xfId="1" applyNumberFormat="1" applyFont="1" applyBorder="1" applyAlignment="1" applyProtection="1">
      <alignment horizontal="right" vertical="center"/>
    </xf>
    <xf numFmtId="0" fontId="24" fillId="0" borderId="26" xfId="0" applyFont="1" applyBorder="1" applyAlignment="1" applyProtection="1">
      <alignment horizontal="left" vertical="center" wrapText="1"/>
    </xf>
    <xf numFmtId="2" fontId="24" fillId="6" borderId="26" xfId="0" applyNumberFormat="1" applyFont="1" applyFill="1" applyBorder="1" applyAlignment="1" applyProtection="1">
      <alignment horizontal="right" vertical="center"/>
      <protection locked="0"/>
    </xf>
    <xf numFmtId="2" fontId="24" fillId="6" borderId="13" xfId="0" applyNumberFormat="1" applyFont="1" applyFill="1" applyBorder="1" applyAlignment="1" applyProtection="1">
      <alignment horizontal="right" vertical="center"/>
      <protection locked="0"/>
    </xf>
    <xf numFmtId="4" fontId="24" fillId="0" borderId="26" xfId="1" applyNumberFormat="1" applyFont="1" applyBorder="1" applyAlignment="1" applyProtection="1">
      <alignment horizontal="right" vertical="center"/>
    </xf>
    <xf numFmtId="2" fontId="24" fillId="0" borderId="26" xfId="0" applyNumberFormat="1" applyFont="1" applyBorder="1" applyAlignment="1" applyProtection="1">
      <alignment horizontal="center" vertical="center" wrapText="1"/>
    </xf>
    <xf numFmtId="49" fontId="21" fillId="6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4" fontId="3" fillId="5" borderId="17" xfId="1" applyNumberFormat="1" applyFont="1" applyFill="1" applyBorder="1" applyAlignment="1" applyProtection="1">
      <alignment horizontal="center" vertical="center" wrapText="1"/>
    </xf>
    <xf numFmtId="4" fontId="3" fillId="5" borderId="16" xfId="1" applyNumberFormat="1" applyFont="1" applyFill="1" applyBorder="1" applyAlignment="1" applyProtection="1">
      <alignment horizontal="center" vertical="center" wrapText="1"/>
    </xf>
    <xf numFmtId="4" fontId="3" fillId="5" borderId="18" xfId="1" applyNumberFormat="1" applyFont="1" applyFill="1" applyBorder="1" applyAlignment="1" applyProtection="1">
      <alignment horizontal="center" vertical="center" wrapText="1"/>
    </xf>
    <xf numFmtId="4" fontId="3" fillId="5" borderId="12" xfId="1" applyNumberFormat="1" applyFont="1" applyFill="1" applyBorder="1" applyAlignment="1" applyProtection="1">
      <alignment horizontal="center" vertical="center" wrapText="1"/>
    </xf>
    <xf numFmtId="4" fontId="3" fillId="5" borderId="15" xfId="1" applyNumberFormat="1" applyFont="1" applyFill="1" applyBorder="1" applyAlignment="1" applyProtection="1">
      <alignment horizontal="center" vertical="center" wrapText="1"/>
    </xf>
    <xf numFmtId="4" fontId="3" fillId="5" borderId="19" xfId="1" applyNumberFormat="1" applyFont="1" applyFill="1" applyBorder="1" applyAlignment="1" applyProtection="1">
      <alignment horizontal="center" vertical="center" wrapText="1"/>
    </xf>
    <xf numFmtId="49" fontId="3" fillId="6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4" fontId="3" fillId="4" borderId="30" xfId="1" applyNumberFormat="1" applyFont="1" applyFill="1" applyBorder="1" applyAlignment="1" applyProtection="1">
      <alignment horizontal="right" vertical="center"/>
    </xf>
    <xf numFmtId="4" fontId="3" fillId="4" borderId="28" xfId="1" applyNumberFormat="1" applyFont="1" applyFill="1" applyBorder="1" applyAlignment="1" applyProtection="1">
      <alignment horizontal="right" vertical="center"/>
    </xf>
    <xf numFmtId="4" fontId="3" fillId="4" borderId="29" xfId="1" applyNumberFormat="1" applyFont="1" applyFill="1" applyBorder="1" applyAlignment="1" applyProtection="1">
      <alignment horizontal="right" vertical="center"/>
    </xf>
    <xf numFmtId="4" fontId="3" fillId="4" borderId="30" xfId="0" applyNumberFormat="1" applyFont="1" applyFill="1" applyBorder="1" applyAlignment="1" applyProtection="1">
      <alignment horizontal="right" vertical="center"/>
    </xf>
    <xf numFmtId="4" fontId="3" fillId="4" borderId="28" xfId="0" applyNumberFormat="1" applyFont="1" applyFill="1" applyBorder="1" applyAlignment="1" applyProtection="1">
      <alignment horizontal="right" vertical="center"/>
    </xf>
    <xf numFmtId="4" fontId="3" fillId="4" borderId="29" xfId="0" applyNumberFormat="1" applyFont="1" applyFill="1" applyBorder="1" applyAlignment="1" applyProtection="1">
      <alignment horizontal="right" vertical="center"/>
    </xf>
    <xf numFmtId="4" fontId="24" fillId="0" borderId="26" xfId="0" applyNumberFormat="1" applyFont="1" applyBorder="1" applyAlignment="1" applyProtection="1">
      <alignment vertical="center"/>
    </xf>
    <xf numFmtId="4" fontId="24" fillId="0" borderId="26" xfId="1" applyNumberFormat="1" applyFont="1" applyBorder="1" applyAlignment="1" applyProtection="1">
      <alignment vertical="center"/>
    </xf>
    <xf numFmtId="4" fontId="24" fillId="0" borderId="13" xfId="1" applyNumberFormat="1" applyFont="1" applyBorder="1" applyAlignment="1" applyProtection="1">
      <alignment horizontal="right" vertical="center"/>
    </xf>
    <xf numFmtId="4" fontId="3" fillId="4" borderId="20" xfId="1" applyNumberFormat="1" applyFont="1" applyFill="1" applyBorder="1" applyAlignment="1" applyProtection="1">
      <alignment vertical="center"/>
    </xf>
    <xf numFmtId="4" fontId="3" fillId="4" borderId="21" xfId="1" applyNumberFormat="1" applyFont="1" applyFill="1" applyBorder="1" applyAlignment="1" applyProtection="1">
      <alignment vertical="center"/>
    </xf>
    <xf numFmtId="4" fontId="3" fillId="4" borderId="27" xfId="1" applyNumberFormat="1" applyFont="1" applyFill="1" applyBorder="1" applyAlignment="1" applyProtection="1">
      <alignment vertical="center"/>
    </xf>
    <xf numFmtId="0" fontId="23" fillId="2" borderId="23" xfId="0" applyFont="1" applyFill="1" applyBorder="1" applyAlignment="1" applyProtection="1">
      <alignment horizontal="left" vertical="center" wrapText="1"/>
    </xf>
    <xf numFmtId="4" fontId="3" fillId="4" borderId="30" xfId="0" applyNumberFormat="1" applyFont="1" applyFill="1" applyBorder="1" applyAlignment="1" applyProtection="1">
      <alignment vertical="center"/>
    </xf>
    <xf numFmtId="4" fontId="3" fillId="4" borderId="28" xfId="0" applyNumberFormat="1" applyFont="1" applyFill="1" applyBorder="1" applyAlignment="1" applyProtection="1">
      <alignment vertical="center"/>
    </xf>
    <xf numFmtId="4" fontId="3" fillId="4" borderId="29" xfId="0" applyNumberFormat="1" applyFont="1" applyFill="1" applyBorder="1" applyAlignment="1" applyProtection="1">
      <alignment vertical="center"/>
    </xf>
    <xf numFmtId="4" fontId="3" fillId="4" borderId="20" xfId="0" applyNumberFormat="1" applyFont="1" applyFill="1" applyBorder="1" applyAlignment="1" applyProtection="1">
      <alignment horizontal="right" vertical="center"/>
    </xf>
    <xf numFmtId="4" fontId="3" fillId="4" borderId="21" xfId="0" applyNumberFormat="1" applyFont="1" applyFill="1" applyBorder="1" applyAlignment="1" applyProtection="1">
      <alignment horizontal="right" vertical="center"/>
    </xf>
    <xf numFmtId="4" fontId="3" fillId="4" borderId="27" xfId="0" applyNumberFormat="1" applyFont="1" applyFill="1" applyBorder="1" applyAlignment="1" applyProtection="1">
      <alignment horizontal="right" vertical="center"/>
    </xf>
    <xf numFmtId="4" fontId="24" fillId="0" borderId="13" xfId="1" applyNumberFormat="1" applyFont="1" applyBorder="1" applyAlignment="1" applyProtection="1">
      <alignment vertical="center"/>
    </xf>
    <xf numFmtId="0" fontId="25" fillId="0" borderId="4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4" fontId="24" fillId="0" borderId="47" xfId="0" applyNumberFormat="1" applyFont="1" applyBorder="1" applyAlignment="1" applyProtection="1">
      <alignment horizontal="center" vertical="center"/>
      <protection locked="0"/>
    </xf>
    <xf numFmtId="4" fontId="24" fillId="0" borderId="16" xfId="0" applyNumberFormat="1" applyFont="1" applyBorder="1" applyAlignment="1" applyProtection="1">
      <alignment horizontal="center" vertical="center"/>
      <protection locked="0"/>
    </xf>
    <xf numFmtId="4" fontId="24" fillId="0" borderId="48" xfId="0" applyNumberFormat="1" applyFont="1" applyBorder="1" applyAlignment="1" applyProtection="1">
      <alignment horizontal="center" vertical="center"/>
      <protection locked="0"/>
    </xf>
    <xf numFmtId="4" fontId="24" fillId="0" borderId="6" xfId="0" applyNumberFormat="1" applyFont="1" applyBorder="1" applyAlignment="1" applyProtection="1">
      <alignment horizontal="center" vertical="center"/>
      <protection locked="0"/>
    </xf>
    <xf numFmtId="4" fontId="24" fillId="0" borderId="7" xfId="0" applyNumberFormat="1" applyFont="1" applyBorder="1" applyAlignment="1" applyProtection="1">
      <alignment horizontal="center" vertical="center"/>
      <protection locked="0"/>
    </xf>
    <xf numFmtId="4" fontId="24" fillId="0" borderId="8" xfId="0" applyNumberFormat="1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2" fontId="24" fillId="6" borderId="47" xfId="0" applyNumberFormat="1" applyFont="1" applyFill="1" applyBorder="1" applyAlignment="1" applyProtection="1">
      <alignment horizontal="right" vertical="center"/>
      <protection locked="0"/>
    </xf>
    <xf numFmtId="2" fontId="24" fillId="6" borderId="16" xfId="0" applyNumberFormat="1" applyFont="1" applyFill="1" applyBorder="1" applyAlignment="1" applyProtection="1">
      <alignment horizontal="right" vertical="center"/>
      <protection locked="0"/>
    </xf>
    <xf numFmtId="2" fontId="24" fillId="6" borderId="48" xfId="0" applyNumberFormat="1" applyFont="1" applyFill="1" applyBorder="1" applyAlignment="1" applyProtection="1">
      <alignment horizontal="right" vertical="center"/>
      <protection locked="0"/>
    </xf>
    <xf numFmtId="2" fontId="24" fillId="6" borderId="6" xfId="0" applyNumberFormat="1" applyFont="1" applyFill="1" applyBorder="1" applyAlignment="1" applyProtection="1">
      <alignment horizontal="right" vertical="center"/>
      <protection locked="0"/>
    </xf>
    <xf numFmtId="2" fontId="24" fillId="6" borderId="7" xfId="0" applyNumberFormat="1" applyFont="1" applyFill="1" applyBorder="1" applyAlignment="1" applyProtection="1">
      <alignment horizontal="right" vertical="center"/>
      <protection locked="0"/>
    </xf>
    <xf numFmtId="2" fontId="24" fillId="6" borderId="8" xfId="0" applyNumberFormat="1" applyFont="1" applyFill="1" applyBorder="1" applyAlignment="1" applyProtection="1">
      <alignment horizontal="right" vertical="center"/>
      <protection locked="0"/>
    </xf>
    <xf numFmtId="4" fontId="24" fillId="0" borderId="47" xfId="1" applyNumberFormat="1" applyFont="1" applyBorder="1" applyAlignment="1" applyProtection="1">
      <alignment horizontal="right" vertical="center"/>
    </xf>
    <xf numFmtId="4" fontId="24" fillId="0" borderId="16" xfId="1" applyNumberFormat="1" applyFont="1" applyBorder="1" applyAlignment="1" applyProtection="1">
      <alignment horizontal="right" vertical="center"/>
    </xf>
    <xf numFmtId="4" fontId="24" fillId="0" borderId="48" xfId="1" applyNumberFormat="1" applyFont="1" applyBorder="1" applyAlignment="1" applyProtection="1">
      <alignment horizontal="right" vertical="center"/>
    </xf>
    <xf numFmtId="4" fontId="24" fillId="0" borderId="6" xfId="1" applyNumberFormat="1" applyFont="1" applyBorder="1" applyAlignment="1" applyProtection="1">
      <alignment horizontal="right" vertical="center"/>
    </xf>
    <xf numFmtId="4" fontId="24" fillId="0" borderId="7" xfId="1" applyNumberFormat="1" applyFont="1" applyBorder="1" applyAlignment="1" applyProtection="1">
      <alignment horizontal="right" vertical="center"/>
    </xf>
    <xf numFmtId="4" fontId="24" fillId="0" borderId="8" xfId="1" applyNumberFormat="1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/>
    </xf>
    <xf numFmtId="1" fontId="3" fillId="6" borderId="0" xfId="0" applyNumberFormat="1" applyFont="1" applyFill="1" applyBorder="1" applyAlignment="1" applyProtection="1">
      <alignment horizontal="left" vertical="center"/>
      <protection locked="0"/>
    </xf>
    <xf numFmtId="2" fontId="24" fillId="0" borderId="26" xfId="0" applyNumberFormat="1" applyFont="1" applyBorder="1" applyAlignment="1" applyProtection="1">
      <alignment horizontal="center" vertical="center"/>
    </xf>
    <xf numFmtId="4" fontId="3" fillId="5" borderId="23" xfId="1" applyNumberFormat="1" applyFont="1" applyFill="1" applyBorder="1" applyAlignment="1" applyProtection="1">
      <alignment horizontal="center" vertical="center" wrapText="1"/>
    </xf>
    <xf numFmtId="4" fontId="3" fillId="5" borderId="25" xfId="1" applyNumberFormat="1" applyFont="1" applyFill="1" applyBorder="1" applyAlignment="1" applyProtection="1">
      <alignment horizontal="center" vertical="center" wrapText="1"/>
    </xf>
    <xf numFmtId="4" fontId="3" fillId="5" borderId="24" xfId="1" applyNumberFormat="1" applyFont="1" applyFill="1" applyBorder="1" applyAlignment="1" applyProtection="1">
      <alignment horizontal="center" vertical="center" wrapText="1"/>
    </xf>
    <xf numFmtId="1" fontId="3" fillId="6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165" fontId="31" fillId="7" borderId="0" xfId="1" applyNumberFormat="1" applyFont="1" applyFill="1" applyBorder="1" applyAlignment="1" applyProtection="1">
      <alignment horizontal="center" vertical="center" wrapText="1"/>
    </xf>
    <xf numFmtId="4" fontId="3" fillId="4" borderId="20" xfId="1" applyNumberFormat="1" applyFont="1" applyFill="1" applyBorder="1" applyAlignment="1" applyProtection="1">
      <alignment horizontal="right" vertical="center"/>
    </xf>
    <xf numFmtId="4" fontId="3" fillId="4" borderId="21" xfId="1" applyNumberFormat="1" applyFont="1" applyFill="1" applyBorder="1" applyAlignment="1" applyProtection="1">
      <alignment horizontal="right" vertical="center"/>
    </xf>
    <xf numFmtId="4" fontId="3" fillId="4" borderId="27" xfId="1" applyNumberFormat="1" applyFont="1" applyFill="1" applyBorder="1" applyAlignment="1" applyProtection="1">
      <alignment horizontal="right" vertic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 wrapText="1"/>
    </xf>
    <xf numFmtId="0" fontId="25" fillId="0" borderId="26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 wrapText="1"/>
    </xf>
    <xf numFmtId="0" fontId="23" fillId="2" borderId="23" xfId="0" applyFont="1" applyFill="1" applyBorder="1" applyAlignment="1" applyProtection="1">
      <alignment horizontal="left" vertical="center"/>
    </xf>
    <xf numFmtId="0" fontId="23" fillId="2" borderId="25" xfId="0" applyFont="1" applyFill="1" applyBorder="1" applyAlignment="1" applyProtection="1">
      <alignment horizontal="left" vertical="center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48" xfId="0" applyFont="1" applyBorder="1" applyAlignment="1" applyProtection="1">
      <alignment horizontal="center" vertical="center" wrapText="1"/>
    </xf>
    <xf numFmtId="0" fontId="25" fillId="0" borderId="4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4" fontId="24" fillId="0" borderId="49" xfId="0" applyNumberFormat="1" applyFont="1" applyBorder="1" applyAlignment="1" applyProtection="1">
      <alignment horizontal="right" vertical="center"/>
    </xf>
    <xf numFmtId="4" fontId="24" fillId="0" borderId="26" xfId="0" applyNumberFormat="1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4" fontId="24" fillId="0" borderId="13" xfId="0" applyNumberFormat="1" applyFont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horizontal="center" vertical="center"/>
    </xf>
    <xf numFmtId="4" fontId="24" fillId="0" borderId="13" xfId="0" applyNumberFormat="1" applyFont="1" applyBorder="1" applyAlignment="1" applyProtection="1">
      <alignment horizontal="right" vertical="center"/>
    </xf>
    <xf numFmtId="4" fontId="24" fillId="0" borderId="47" xfId="0" applyNumberFormat="1" applyFont="1" applyBorder="1" applyAlignment="1" applyProtection="1">
      <alignment horizontal="right" vertical="center"/>
    </xf>
    <xf numFmtId="4" fontId="24" fillId="0" borderId="16" xfId="0" applyNumberFormat="1" applyFont="1" applyBorder="1" applyAlignment="1" applyProtection="1">
      <alignment horizontal="right" vertical="center"/>
    </xf>
    <xf numFmtId="4" fontId="24" fillId="0" borderId="48" xfId="0" applyNumberFormat="1" applyFont="1" applyBorder="1" applyAlignment="1" applyProtection="1">
      <alignment horizontal="right" vertical="center"/>
    </xf>
    <xf numFmtId="4" fontId="24" fillId="0" borderId="6" xfId="0" applyNumberFormat="1" applyFont="1" applyBorder="1" applyAlignment="1" applyProtection="1">
      <alignment horizontal="right" vertical="center"/>
    </xf>
    <xf numFmtId="4" fontId="24" fillId="0" borderId="7" xfId="0" applyNumberFormat="1" applyFont="1" applyBorder="1" applyAlignment="1" applyProtection="1">
      <alignment horizontal="right" vertical="center"/>
    </xf>
    <xf numFmtId="4" fontId="24" fillId="0" borderId="8" xfId="0" applyNumberFormat="1" applyFont="1" applyBorder="1" applyAlignment="1" applyProtection="1">
      <alignment horizontal="righ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25" fillId="0" borderId="33" xfId="0" applyNumberFormat="1" applyFont="1" applyFill="1" applyBorder="1" applyAlignment="1" applyProtection="1">
      <alignment horizontal="left" vertical="center" wrapText="1"/>
    </xf>
    <xf numFmtId="49" fontId="25" fillId="0" borderId="16" xfId="0" applyNumberFormat="1" applyFont="1" applyFill="1" applyBorder="1" applyAlignment="1" applyProtection="1">
      <alignment horizontal="left" vertical="center" wrapText="1"/>
    </xf>
    <xf numFmtId="49" fontId="25" fillId="0" borderId="60" xfId="0" applyNumberFormat="1" applyFont="1" applyFill="1" applyBorder="1" applyAlignment="1" applyProtection="1">
      <alignment horizontal="left" vertical="center" wrapText="1"/>
    </xf>
    <xf numFmtId="49" fontId="25" fillId="0" borderId="34" xfId="0" applyNumberFormat="1" applyFont="1" applyFill="1" applyBorder="1" applyAlignment="1" applyProtection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 wrapText="1"/>
    </xf>
    <xf numFmtId="49" fontId="25" fillId="0" borderId="39" xfId="0" applyNumberFormat="1" applyFont="1" applyFill="1" applyBorder="1" applyAlignment="1" applyProtection="1">
      <alignment horizontal="left" vertical="center" wrapText="1"/>
    </xf>
    <xf numFmtId="49" fontId="25" fillId="0" borderId="35" xfId="0" applyNumberFormat="1" applyFont="1" applyFill="1" applyBorder="1" applyAlignment="1" applyProtection="1">
      <alignment horizontal="left" vertical="center" wrapText="1"/>
    </xf>
    <xf numFmtId="49" fontId="25" fillId="0" borderId="32" xfId="0" applyNumberFormat="1" applyFont="1" applyFill="1" applyBorder="1" applyAlignment="1" applyProtection="1">
      <alignment horizontal="left" vertical="center" wrapText="1"/>
    </xf>
    <xf numFmtId="49" fontId="25" fillId="0" borderId="40" xfId="0" applyNumberFormat="1" applyFont="1" applyFill="1" applyBorder="1" applyAlignment="1" applyProtection="1">
      <alignment horizontal="left" vertical="center" wrapText="1"/>
    </xf>
    <xf numFmtId="0" fontId="29" fillId="7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65" fontId="4" fillId="0" borderId="0" xfId="1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right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right" vertical="center"/>
    </xf>
    <xf numFmtId="14" fontId="7" fillId="0" borderId="0" xfId="1" applyNumberFormat="1" applyFont="1" applyFill="1" applyBorder="1" applyAlignment="1" applyProtection="1">
      <alignment horizontal="center" vertical="center"/>
    </xf>
    <xf numFmtId="164" fontId="16" fillId="0" borderId="17" xfId="0" applyNumberFormat="1" applyFont="1" applyFill="1" applyBorder="1" applyAlignment="1" applyProtection="1">
      <alignment horizontal="center" vertical="center"/>
    </xf>
    <xf numFmtId="164" fontId="16" fillId="0" borderId="16" xfId="0" applyNumberFormat="1" applyFont="1" applyFill="1" applyBorder="1" applyAlignment="1" applyProtection="1">
      <alignment horizontal="center" vertical="center"/>
    </xf>
    <xf numFmtId="164" fontId="16" fillId="0" borderId="18" xfId="0" applyNumberFormat="1" applyFont="1" applyFill="1" applyBorder="1" applyAlignment="1" applyProtection="1">
      <alignment horizontal="center" vertical="center"/>
    </xf>
    <xf numFmtId="164" fontId="16" fillId="0" borderId="12" xfId="0" applyNumberFormat="1" applyFont="1" applyFill="1" applyBorder="1" applyAlignment="1" applyProtection="1">
      <alignment horizontal="center" vertical="center"/>
    </xf>
    <xf numFmtId="164" fontId="16" fillId="0" borderId="15" xfId="0" applyNumberFormat="1" applyFont="1" applyFill="1" applyBorder="1" applyAlignment="1" applyProtection="1">
      <alignment horizontal="center" vertical="center"/>
    </xf>
    <xf numFmtId="164" fontId="16" fillId="0" borderId="19" xfId="0" applyNumberFormat="1" applyFont="1" applyFill="1" applyBorder="1" applyAlignment="1" applyProtection="1">
      <alignment horizontal="center" vertical="center"/>
    </xf>
    <xf numFmtId="164" fontId="16" fillId="0" borderId="13" xfId="0" applyNumberFormat="1" applyFont="1" applyFill="1" applyBorder="1" applyAlignment="1" applyProtection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/>
    </xf>
    <xf numFmtId="1" fontId="16" fillId="0" borderId="17" xfId="0" applyNumberFormat="1" applyFont="1" applyFill="1" applyBorder="1" applyAlignment="1" applyProtection="1">
      <alignment horizontal="right" vertical="center"/>
    </xf>
    <xf numFmtId="1" fontId="16" fillId="0" borderId="16" xfId="0" applyNumberFormat="1" applyFont="1" applyFill="1" applyBorder="1" applyAlignment="1" applyProtection="1">
      <alignment horizontal="right" vertical="center"/>
    </xf>
    <xf numFmtId="1" fontId="16" fillId="0" borderId="18" xfId="0" applyNumberFormat="1" applyFont="1" applyFill="1" applyBorder="1" applyAlignment="1" applyProtection="1">
      <alignment horizontal="right" vertical="center"/>
    </xf>
    <xf numFmtId="1" fontId="16" fillId="0" borderId="12" xfId="0" applyNumberFormat="1" applyFont="1" applyFill="1" applyBorder="1" applyAlignment="1" applyProtection="1">
      <alignment horizontal="right" vertical="center"/>
    </xf>
    <xf numFmtId="1" fontId="16" fillId="0" borderId="15" xfId="0" applyNumberFormat="1" applyFont="1" applyFill="1" applyBorder="1" applyAlignment="1" applyProtection="1">
      <alignment horizontal="right" vertical="center"/>
    </xf>
    <xf numFmtId="1" fontId="16" fillId="0" borderId="19" xfId="0" applyNumberFormat="1" applyFont="1" applyFill="1" applyBorder="1" applyAlignment="1" applyProtection="1">
      <alignment horizontal="right" vertical="center"/>
    </xf>
    <xf numFmtId="0" fontId="16" fillId="0" borderId="26" xfId="0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26" xfId="0" applyNumberFormat="1" applyFont="1" applyFill="1" applyBorder="1" applyAlignment="1" applyProtection="1">
      <alignment horizontal="center" vertical="center"/>
    </xf>
    <xf numFmtId="164" fontId="16" fillId="0" borderId="6" xfId="0" applyNumberFormat="1" applyFont="1" applyFill="1" applyBorder="1" applyAlignment="1" applyProtection="1">
      <alignment horizontal="center" vertical="center"/>
    </xf>
    <xf numFmtId="164" fontId="16" fillId="0" borderId="17" xfId="0" applyNumberFormat="1" applyFont="1" applyFill="1" applyBorder="1" applyAlignment="1" applyProtection="1">
      <alignment horizontal="center" vertical="center"/>
      <protection locked="0"/>
    </xf>
    <xf numFmtId="164" fontId="16" fillId="0" borderId="16" xfId="0" applyNumberFormat="1" applyFont="1" applyFill="1" applyBorder="1" applyAlignment="1" applyProtection="1">
      <alignment horizontal="center" vertical="center"/>
      <protection locked="0"/>
    </xf>
    <xf numFmtId="164" fontId="16" fillId="0" borderId="18" xfId="0" applyNumberFormat="1" applyFont="1" applyFill="1" applyBorder="1" applyAlignment="1" applyProtection="1">
      <alignment horizontal="center" vertical="center"/>
      <protection locked="0"/>
    </xf>
    <xf numFmtId="164" fontId="16" fillId="0" borderId="12" xfId="0" applyNumberFormat="1" applyFont="1" applyFill="1" applyBorder="1" applyAlignment="1" applyProtection="1">
      <alignment horizontal="center" vertical="center"/>
      <protection locked="0"/>
    </xf>
    <xf numFmtId="164" fontId="16" fillId="0" borderId="15" xfId="0" applyNumberFormat="1" applyFont="1" applyFill="1" applyBorder="1" applyAlignment="1" applyProtection="1">
      <alignment horizontal="center" vertical="center"/>
      <protection locked="0"/>
    </xf>
    <xf numFmtId="164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164" fontId="16" fillId="0" borderId="33" xfId="0" applyNumberFormat="1" applyFont="1" applyFill="1" applyBorder="1" applyAlignment="1" applyProtection="1">
      <alignment horizontal="center" vertical="center"/>
    </xf>
    <xf numFmtId="164" fontId="16" fillId="0" borderId="34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164" fontId="16" fillId="0" borderId="35" xfId="0" applyNumberFormat="1" applyFont="1" applyFill="1" applyBorder="1" applyAlignment="1" applyProtection="1">
      <alignment horizontal="center" vertical="center"/>
    </xf>
    <xf numFmtId="164" fontId="16" fillId="0" borderId="32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164" fontId="16" fillId="0" borderId="22" xfId="0" applyNumberFormat="1" applyFont="1" applyFill="1" applyBorder="1" applyAlignment="1" applyProtection="1">
      <alignment horizontal="center" vertical="center"/>
    </xf>
    <xf numFmtId="164" fontId="16" fillId="0" borderId="36" xfId="0" applyNumberFormat="1" applyFont="1" applyFill="1" applyBorder="1" applyAlignment="1" applyProtection="1">
      <alignment horizontal="center" vertical="center"/>
    </xf>
    <xf numFmtId="164" fontId="16" fillId="0" borderId="41" xfId="0" applyNumberFormat="1" applyFont="1" applyFill="1" applyBorder="1" applyAlignment="1" applyProtection="1">
      <alignment horizontal="center" vertical="center"/>
    </xf>
    <xf numFmtId="164" fontId="16" fillId="0" borderId="37" xfId="0" applyNumberFormat="1" applyFont="1" applyFill="1" applyBorder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/>
    </xf>
    <xf numFmtId="164" fontId="16" fillId="0" borderId="38" xfId="0" applyNumberFormat="1" applyFont="1" applyFill="1" applyBorder="1" applyAlignment="1" applyProtection="1">
      <alignment horizontal="center" vertical="center"/>
    </xf>
    <xf numFmtId="164" fontId="16" fillId="0" borderId="39" xfId="0" applyNumberFormat="1" applyFont="1" applyFill="1" applyBorder="1" applyAlignment="1" applyProtection="1">
      <alignment horizontal="center" vertical="center"/>
    </xf>
    <xf numFmtId="164" fontId="16" fillId="0" borderId="4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8" fillId="6" borderId="0" xfId="0" applyNumberFormat="1" applyFont="1" applyFill="1" applyBorder="1" applyAlignment="1" applyProtection="1">
      <alignment horizontal="left" vertical="center"/>
      <protection locked="0"/>
    </xf>
    <xf numFmtId="49" fontId="9" fillId="6" borderId="0" xfId="0" applyNumberFormat="1" applyFont="1" applyFill="1" applyBorder="1" applyAlignment="1" applyProtection="1">
      <alignment horizontal="left" vertical="center"/>
      <protection locked="0"/>
    </xf>
    <xf numFmtId="2" fontId="9" fillId="6" borderId="0" xfId="0" applyNumberFormat="1" applyFont="1" applyFill="1" applyBorder="1" applyAlignment="1" applyProtection="1">
      <alignment horizontal="left" vertical="center"/>
      <protection locked="0"/>
    </xf>
    <xf numFmtId="9" fontId="18" fillId="0" borderId="0" xfId="3" applyFont="1" applyBorder="1" applyAlignment="1">
      <alignment vertical="center"/>
    </xf>
    <xf numFmtId="10" fontId="17" fillId="0" borderId="13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0" fontId="18" fillId="0" borderId="25" xfId="3" applyNumberFormat="1" applyFont="1" applyBorder="1" applyAlignment="1">
      <alignment horizontal="center" vertical="center"/>
    </xf>
    <xf numFmtId="10" fontId="18" fillId="0" borderId="24" xfId="3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0" fontId="17" fillId="6" borderId="13" xfId="3" applyNumberFormat="1" applyFont="1" applyFill="1" applyBorder="1" applyAlignment="1" applyProtection="1">
      <alignment horizontal="center" vertical="center"/>
      <protection locked="0"/>
    </xf>
    <xf numFmtId="10" fontId="17" fillId="0" borderId="31" xfId="3" applyNumberFormat="1" applyFont="1" applyFill="1" applyBorder="1" applyAlignment="1">
      <alignment horizontal="center" vertical="center"/>
    </xf>
    <xf numFmtId="10" fontId="17" fillId="0" borderId="53" xfId="3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0" fontId="17" fillId="6" borderId="26" xfId="3" applyNumberFormat="1" applyFont="1" applyFill="1" applyBorder="1" applyAlignment="1" applyProtection="1">
      <alignment horizontal="center" vertical="center"/>
      <protection locked="0"/>
    </xf>
    <xf numFmtId="10" fontId="17" fillId="0" borderId="50" xfId="3" applyNumberFormat="1" applyFont="1" applyFill="1" applyBorder="1" applyAlignment="1">
      <alignment horizontal="center" vertical="center"/>
    </xf>
    <xf numFmtId="10" fontId="17" fillId="0" borderId="51" xfId="3" applyNumberFormat="1" applyFont="1" applyFill="1" applyBorder="1" applyAlignment="1">
      <alignment horizontal="center" vertical="center"/>
    </xf>
    <xf numFmtId="10" fontId="17" fillId="0" borderId="52" xfId="3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65" fontId="32" fillId="0" borderId="23" xfId="1" applyNumberFormat="1" applyFont="1" applyFill="1" applyBorder="1" applyAlignment="1" applyProtection="1">
      <alignment horizontal="center" vertical="center" wrapText="1"/>
    </xf>
    <xf numFmtId="165" fontId="32" fillId="0" borderId="25" xfId="1" applyNumberFormat="1" applyFont="1" applyFill="1" applyBorder="1" applyAlignment="1" applyProtection="1">
      <alignment horizontal="center" vertical="center" wrapText="1"/>
    </xf>
    <xf numFmtId="165" fontId="32" fillId="0" borderId="24" xfId="1" applyNumberFormat="1" applyFont="1" applyFill="1" applyBorder="1" applyAlignment="1" applyProtection="1">
      <alignment horizontal="center" vertical="center" wrapText="1"/>
    </xf>
    <xf numFmtId="165" fontId="32" fillId="0" borderId="0" xfId="1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5"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1273</xdr:colOff>
      <xdr:row>0</xdr:row>
      <xdr:rowOff>38100</xdr:rowOff>
    </xdr:from>
    <xdr:to>
      <xdr:col>10</xdr:col>
      <xdr:colOff>19050</xdr:colOff>
      <xdr:row>4</xdr:row>
      <xdr:rowOff>133350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473" y="38100"/>
          <a:ext cx="703577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200025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8096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1273</xdr:colOff>
      <xdr:row>0</xdr:row>
      <xdr:rowOff>38100</xdr:rowOff>
    </xdr:from>
    <xdr:to>
      <xdr:col>10</xdr:col>
      <xdr:colOff>19050</xdr:colOff>
      <xdr:row>4</xdr:row>
      <xdr:rowOff>120926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473" y="38100"/>
          <a:ext cx="703577" cy="730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96523</xdr:colOff>
      <xdr:row>0</xdr:row>
      <xdr:rowOff>38100</xdr:rowOff>
    </xdr:from>
    <xdr:to>
      <xdr:col>3</xdr:col>
      <xdr:colOff>57150</xdr:colOff>
      <xdr:row>4</xdr:row>
      <xdr:rowOff>120926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3" y="38100"/>
          <a:ext cx="703577" cy="730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oleObject" Target="../embeddings/Documento_do_Microsoft_Office_Word_97_-_2003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oleObject" Target="../embeddings/Documento_do_Microsoft_Office_Word_97_-_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oleObject" Target="../embeddings/Documento_do_Microsoft_Office_Word_97_-_20033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93"/>
  <sheetViews>
    <sheetView showGridLines="0" view="pageBreakPreview" topLeftCell="A13" zoomScale="70" zoomScaleSheetLayoutView="70" workbookViewId="0">
      <selection activeCell="N44" sqref="N44:BE44"/>
    </sheetView>
  </sheetViews>
  <sheetFormatPr defaultRowHeight="14.25"/>
  <cols>
    <col min="1" max="13" width="1.7109375" style="79" customWidth="1"/>
    <col min="14" max="63" width="1.7109375" style="73" customWidth="1"/>
    <col min="64" max="67" width="1.7109375" style="80" customWidth="1"/>
    <col min="68" max="77" width="1.7109375" style="73" customWidth="1"/>
    <col min="78" max="99" width="1.7109375" style="81" customWidth="1"/>
    <col min="100" max="122" width="1.7109375" style="73" customWidth="1"/>
    <col min="123" max="16384" width="9.140625" style="73"/>
  </cols>
  <sheetData>
    <row r="1" spans="1:99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5"/>
      <c r="BM1" s="85"/>
      <c r="BN1" s="85"/>
      <c r="BO1" s="85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</row>
    <row r="2" spans="1:99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5"/>
      <c r="BM2" s="85"/>
      <c r="BN2" s="85"/>
      <c r="BO2" s="85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</row>
    <row r="3" spans="1:99" ht="12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8"/>
      <c r="BM3" s="88"/>
      <c r="BN3" s="88"/>
      <c r="BO3" s="88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</row>
    <row r="4" spans="1:99" ht="12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8"/>
      <c r="BM4" s="88"/>
      <c r="BN4" s="88"/>
      <c r="BO4" s="88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</row>
    <row r="5" spans="1:99" ht="12.75" customHeight="1">
      <c r="A5" s="298" t="s">
        <v>340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</row>
    <row r="6" spans="1:99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</row>
    <row r="7" spans="1:99" ht="12.7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8"/>
      <c r="BM7" s="88"/>
      <c r="BN7" s="88"/>
      <c r="BO7" s="88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</row>
    <row r="8" spans="1:99" ht="15" customHeight="1">
      <c r="A8" s="83"/>
      <c r="B8" s="83"/>
      <c r="C8" s="83"/>
      <c r="D8" s="183" t="s">
        <v>407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315" t="s">
        <v>365</v>
      </c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90"/>
    </row>
    <row r="9" spans="1:99" ht="15" customHeight="1">
      <c r="A9" s="83"/>
      <c r="B9" s="83"/>
      <c r="C9" s="83"/>
      <c r="D9" s="305" t="s">
        <v>366</v>
      </c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72"/>
      <c r="CJ9" s="72"/>
      <c r="CK9" s="72"/>
      <c r="CL9" s="90"/>
      <c r="CM9" s="90"/>
      <c r="CN9" s="90"/>
      <c r="CO9" s="90"/>
      <c r="CP9" s="90"/>
      <c r="CQ9" s="90"/>
      <c r="CR9" s="90"/>
      <c r="CS9" s="90"/>
      <c r="CT9" s="90"/>
      <c r="CU9" s="90"/>
    </row>
    <row r="10" spans="1:99" s="82" customFormat="1" ht="15" customHeight="1">
      <c r="A10" s="91"/>
      <c r="B10" s="91"/>
      <c r="C10" s="91"/>
      <c r="D10" s="91" t="s">
        <v>345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304"/>
      <c r="S10" s="304"/>
      <c r="T10" s="304"/>
      <c r="U10" s="304"/>
      <c r="V10" s="304"/>
      <c r="W10" s="247" t="s">
        <v>323</v>
      </c>
      <c r="X10" s="247"/>
      <c r="Y10" s="247"/>
      <c r="Z10" s="247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</row>
    <row r="11" spans="1:99" s="82" customFormat="1" ht="15" customHeight="1">
      <c r="A11" s="91"/>
      <c r="B11" s="91"/>
      <c r="C11" s="91"/>
      <c r="D11" s="91" t="s">
        <v>324</v>
      </c>
      <c r="E11" s="91"/>
      <c r="F11" s="91"/>
      <c r="G11" s="91"/>
      <c r="H11" s="91"/>
      <c r="I11" s="91"/>
      <c r="J11" s="91" t="s">
        <v>344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</row>
    <row r="12" spans="1:99" s="82" customFormat="1" ht="15" customHeight="1">
      <c r="A12" s="91"/>
      <c r="B12" s="91"/>
      <c r="C12" s="91"/>
      <c r="D12" s="91" t="s">
        <v>325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</row>
    <row r="13" spans="1:99" s="82" customFormat="1" ht="15" customHeight="1">
      <c r="A13" s="91"/>
      <c r="B13" s="91"/>
      <c r="C13" s="91"/>
      <c r="D13" s="186" t="s">
        <v>328</v>
      </c>
      <c r="E13" s="186"/>
      <c r="F13" s="186"/>
      <c r="G13" s="186"/>
      <c r="H13" s="186"/>
      <c r="I13" s="186"/>
      <c r="J13" s="186"/>
      <c r="K13" s="18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91"/>
      <c r="BU13" s="247" t="s">
        <v>333</v>
      </c>
      <c r="BV13" s="247"/>
      <c r="BW13" s="247"/>
      <c r="BX13" s="247"/>
      <c r="BY13" s="247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</row>
    <row r="14" spans="1:99" s="82" customFormat="1" ht="15" customHeight="1">
      <c r="A14" s="91"/>
      <c r="B14" s="91"/>
      <c r="C14" s="91"/>
      <c r="D14" s="247" t="s">
        <v>329</v>
      </c>
      <c r="E14" s="247"/>
      <c r="F14" s="247"/>
      <c r="G14" s="247"/>
      <c r="H14" s="247"/>
      <c r="I14" s="247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91"/>
      <c r="BN14" s="186" t="s">
        <v>326</v>
      </c>
      <c r="BO14" s="186"/>
      <c r="BP14" s="186"/>
      <c r="BQ14" s="186"/>
      <c r="BR14" s="186"/>
      <c r="BS14" s="18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</row>
    <row r="15" spans="1:99" s="82" customFormat="1" ht="15" customHeight="1">
      <c r="A15" s="91"/>
      <c r="B15" s="91"/>
      <c r="C15" s="91"/>
      <c r="D15" s="247" t="s">
        <v>327</v>
      </c>
      <c r="E15" s="247"/>
      <c r="F15" s="247"/>
      <c r="G15" s="247"/>
      <c r="H15" s="247"/>
      <c r="I15" s="247"/>
      <c r="J15" s="247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91"/>
      <c r="BA15" s="91"/>
      <c r="BB15" s="247" t="s">
        <v>330</v>
      </c>
      <c r="BC15" s="247"/>
      <c r="BD15" s="247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</row>
    <row r="16" spans="1:99" s="82" customFormat="1" ht="1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</row>
    <row r="17" spans="1:100" s="82" customFormat="1" ht="15" customHeight="1">
      <c r="A17" s="247" t="s">
        <v>337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</row>
    <row r="18" spans="1:100" s="82" customFormat="1" ht="15" customHeight="1">
      <c r="A18" s="247" t="s">
        <v>338</v>
      </c>
      <c r="B18" s="247"/>
      <c r="C18" s="247"/>
      <c r="D18" s="247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</row>
    <row r="19" spans="1:100" s="82" customFormat="1" ht="15" customHeight="1">
      <c r="A19" s="247" t="s">
        <v>339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</row>
    <row r="20" spans="1:100" s="82" customFormat="1" ht="15" customHeight="1" thickBo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</row>
    <row r="21" spans="1:100" s="123" customFormat="1" ht="12" customHeight="1" thickBot="1">
      <c r="A21" s="191" t="s">
        <v>0</v>
      </c>
      <c r="B21" s="192"/>
      <c r="C21" s="193"/>
      <c r="D21" s="306" t="s">
        <v>355</v>
      </c>
      <c r="E21" s="307"/>
      <c r="F21" s="307"/>
      <c r="G21" s="307"/>
      <c r="H21" s="307"/>
      <c r="I21" s="307"/>
      <c r="J21" s="307"/>
      <c r="K21" s="307"/>
      <c r="L21" s="307"/>
      <c r="M21" s="308"/>
      <c r="N21" s="306" t="s">
        <v>6</v>
      </c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8"/>
      <c r="BF21" s="191" t="s">
        <v>3</v>
      </c>
      <c r="BG21" s="192"/>
      <c r="BH21" s="192"/>
      <c r="BI21" s="192"/>
      <c r="BJ21" s="192"/>
      <c r="BK21" s="192"/>
      <c r="BL21" s="193"/>
      <c r="BM21" s="202" t="s">
        <v>297</v>
      </c>
      <c r="BN21" s="203"/>
      <c r="BO21" s="203"/>
      <c r="BP21" s="204"/>
      <c r="BQ21" s="301" t="s">
        <v>298</v>
      </c>
      <c r="BR21" s="302"/>
      <c r="BS21" s="302"/>
      <c r="BT21" s="302"/>
      <c r="BU21" s="302"/>
      <c r="BV21" s="302"/>
      <c r="BW21" s="302"/>
      <c r="BX21" s="302"/>
      <c r="BY21" s="302"/>
      <c r="BZ21" s="303"/>
      <c r="CA21" s="301" t="s">
        <v>299</v>
      </c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3"/>
    </row>
    <row r="22" spans="1:100" s="123" customFormat="1" ht="12" customHeight="1">
      <c r="A22" s="194"/>
      <c r="B22" s="195"/>
      <c r="C22" s="196"/>
      <c r="D22" s="309"/>
      <c r="E22" s="310"/>
      <c r="F22" s="310"/>
      <c r="G22" s="310"/>
      <c r="H22" s="310"/>
      <c r="I22" s="310"/>
      <c r="J22" s="310"/>
      <c r="K22" s="310"/>
      <c r="L22" s="310"/>
      <c r="M22" s="311"/>
      <c r="N22" s="309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1"/>
      <c r="BF22" s="194"/>
      <c r="BG22" s="195"/>
      <c r="BH22" s="195"/>
      <c r="BI22" s="195"/>
      <c r="BJ22" s="195"/>
      <c r="BK22" s="195"/>
      <c r="BL22" s="196"/>
      <c r="BM22" s="205"/>
      <c r="BN22" s="206"/>
      <c r="BO22" s="206"/>
      <c r="BP22" s="207"/>
      <c r="BQ22" s="240" t="s">
        <v>293</v>
      </c>
      <c r="BR22" s="241"/>
      <c r="BS22" s="241"/>
      <c r="BT22" s="241"/>
      <c r="BU22" s="242"/>
      <c r="BV22" s="240" t="s">
        <v>294</v>
      </c>
      <c r="BW22" s="241"/>
      <c r="BX22" s="241"/>
      <c r="BY22" s="241"/>
      <c r="BZ22" s="242"/>
      <c r="CA22" s="240" t="s">
        <v>293</v>
      </c>
      <c r="CB22" s="241"/>
      <c r="CC22" s="241"/>
      <c r="CD22" s="241"/>
      <c r="CE22" s="241"/>
      <c r="CF22" s="241"/>
      <c r="CG22" s="241"/>
      <c r="CH22" s="241"/>
      <c r="CI22" s="241"/>
      <c r="CJ22" s="242"/>
      <c r="CK22" s="240" t="s">
        <v>294</v>
      </c>
      <c r="CL22" s="241"/>
      <c r="CM22" s="241"/>
      <c r="CN22" s="241"/>
      <c r="CO22" s="241"/>
      <c r="CP22" s="241"/>
      <c r="CQ22" s="241"/>
      <c r="CR22" s="241"/>
      <c r="CS22" s="241"/>
      <c r="CT22" s="241"/>
      <c r="CU22" s="242"/>
    </row>
    <row r="23" spans="1:100" s="123" customFormat="1" ht="12" customHeight="1" thickBot="1">
      <c r="A23" s="197"/>
      <c r="B23" s="198"/>
      <c r="C23" s="199"/>
      <c r="D23" s="312"/>
      <c r="E23" s="313"/>
      <c r="F23" s="313"/>
      <c r="G23" s="313"/>
      <c r="H23" s="313"/>
      <c r="I23" s="313"/>
      <c r="J23" s="313"/>
      <c r="K23" s="313"/>
      <c r="L23" s="313"/>
      <c r="M23" s="314"/>
      <c r="N23" s="312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4"/>
      <c r="BF23" s="197"/>
      <c r="BG23" s="198"/>
      <c r="BH23" s="198"/>
      <c r="BI23" s="198"/>
      <c r="BJ23" s="198"/>
      <c r="BK23" s="198"/>
      <c r="BL23" s="199"/>
      <c r="BM23" s="208"/>
      <c r="BN23" s="209"/>
      <c r="BO23" s="209"/>
      <c r="BP23" s="210"/>
      <c r="BQ23" s="243"/>
      <c r="BR23" s="244"/>
      <c r="BS23" s="244"/>
      <c r="BT23" s="244"/>
      <c r="BU23" s="245"/>
      <c r="BV23" s="243"/>
      <c r="BW23" s="244"/>
      <c r="BX23" s="244"/>
      <c r="BY23" s="244"/>
      <c r="BZ23" s="245"/>
      <c r="CA23" s="243"/>
      <c r="CB23" s="244"/>
      <c r="CC23" s="244"/>
      <c r="CD23" s="244"/>
      <c r="CE23" s="244"/>
      <c r="CF23" s="244"/>
      <c r="CG23" s="244"/>
      <c r="CH23" s="244"/>
      <c r="CI23" s="244"/>
      <c r="CJ23" s="245"/>
      <c r="CK23" s="243"/>
      <c r="CL23" s="244"/>
      <c r="CM23" s="244"/>
      <c r="CN23" s="244"/>
      <c r="CO23" s="244"/>
      <c r="CP23" s="244"/>
      <c r="CQ23" s="244"/>
      <c r="CR23" s="244"/>
      <c r="CS23" s="244"/>
      <c r="CT23" s="244"/>
      <c r="CU23" s="245"/>
    </row>
    <row r="24" spans="1:100" ht="12" customHeight="1" thickBot="1">
      <c r="A24" s="125">
        <v>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35"/>
      <c r="N24" s="200" t="s">
        <v>302</v>
      </c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1"/>
    </row>
    <row r="25" spans="1:100" ht="12" customHeight="1" thickBot="1">
      <c r="A25" s="326" t="s">
        <v>296</v>
      </c>
      <c r="B25" s="327"/>
      <c r="C25" s="327"/>
      <c r="D25" s="126"/>
      <c r="E25" s="126"/>
      <c r="F25" s="126"/>
      <c r="G25" s="126"/>
      <c r="H25" s="126"/>
      <c r="I25" s="126"/>
      <c r="J25" s="126"/>
      <c r="K25" s="126"/>
      <c r="L25" s="126"/>
      <c r="M25" s="135"/>
      <c r="N25" s="200" t="s">
        <v>346</v>
      </c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1"/>
    </row>
    <row r="26" spans="1:100" ht="12" customHeight="1" thickBot="1">
      <c r="A26" s="320" t="s">
        <v>348</v>
      </c>
      <c r="B26" s="320"/>
      <c r="C26" s="320"/>
      <c r="D26" s="325" t="s">
        <v>356</v>
      </c>
      <c r="E26" s="325"/>
      <c r="F26" s="325"/>
      <c r="G26" s="325"/>
      <c r="H26" s="325"/>
      <c r="I26" s="325"/>
      <c r="J26" s="325"/>
      <c r="K26" s="325"/>
      <c r="L26" s="325"/>
      <c r="M26" s="325"/>
      <c r="N26" s="233" t="s">
        <v>301</v>
      </c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300">
        <v>10</v>
      </c>
      <c r="BG26" s="300"/>
      <c r="BH26" s="300"/>
      <c r="BI26" s="300"/>
      <c r="BJ26" s="300"/>
      <c r="BK26" s="300"/>
      <c r="BL26" s="300"/>
      <c r="BM26" s="320" t="s">
        <v>15</v>
      </c>
      <c r="BN26" s="320"/>
      <c r="BO26" s="320"/>
      <c r="BP26" s="320"/>
      <c r="BQ26" s="234"/>
      <c r="BR26" s="234"/>
      <c r="BS26" s="234"/>
      <c r="BT26" s="234"/>
      <c r="BU26" s="234"/>
      <c r="BV26" s="236">
        <f>ROUND(BQ26*(1+$E$48),2)</f>
        <v>0</v>
      </c>
      <c r="BW26" s="236"/>
      <c r="BX26" s="236"/>
      <c r="BY26" s="236"/>
      <c r="BZ26" s="236"/>
      <c r="CA26" s="255">
        <f>BF26*BQ26</f>
        <v>0</v>
      </c>
      <c r="CB26" s="255"/>
      <c r="CC26" s="255"/>
      <c r="CD26" s="255"/>
      <c r="CE26" s="255"/>
      <c r="CF26" s="255"/>
      <c r="CG26" s="255"/>
      <c r="CH26" s="255"/>
      <c r="CI26" s="255"/>
      <c r="CJ26" s="255"/>
      <c r="CK26" s="254">
        <f>ROUND(BF26*BV26,2)</f>
        <v>0</v>
      </c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</row>
    <row r="27" spans="1:100" s="79" customFormat="1" ht="12" customHeight="1" thickBot="1">
      <c r="A27" s="321"/>
      <c r="B27" s="322"/>
      <c r="C27" s="322"/>
      <c r="D27" s="137"/>
      <c r="E27" s="137"/>
      <c r="F27" s="137"/>
      <c r="G27" s="137"/>
      <c r="H27" s="137"/>
      <c r="I27" s="137"/>
      <c r="J27" s="137"/>
      <c r="K27" s="137"/>
      <c r="L27" s="137"/>
      <c r="M27" s="127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9"/>
      <c r="BR27" s="129"/>
      <c r="BS27" s="129"/>
      <c r="BT27" s="217" t="s">
        <v>319</v>
      </c>
      <c r="BU27" s="218"/>
      <c r="BV27" s="218"/>
      <c r="BW27" s="218"/>
      <c r="BX27" s="218"/>
      <c r="BY27" s="218"/>
      <c r="BZ27" s="219"/>
      <c r="CA27" s="316">
        <f>SUM(CA26:CA26)</f>
        <v>0</v>
      </c>
      <c r="CB27" s="317"/>
      <c r="CC27" s="317"/>
      <c r="CD27" s="317"/>
      <c r="CE27" s="317"/>
      <c r="CF27" s="317"/>
      <c r="CG27" s="317"/>
      <c r="CH27" s="317"/>
      <c r="CI27" s="317"/>
      <c r="CJ27" s="318"/>
      <c r="CK27" s="264">
        <f>SUM(CK26:CK26)</f>
        <v>0</v>
      </c>
      <c r="CL27" s="265"/>
      <c r="CM27" s="265"/>
      <c r="CN27" s="265"/>
      <c r="CO27" s="265"/>
      <c r="CP27" s="265"/>
      <c r="CQ27" s="265"/>
      <c r="CR27" s="265"/>
      <c r="CS27" s="265"/>
      <c r="CT27" s="265"/>
      <c r="CU27" s="266"/>
      <c r="CV27" s="124"/>
    </row>
    <row r="28" spans="1:100" ht="12" customHeight="1" thickBot="1">
      <c r="A28" s="326" t="s">
        <v>311</v>
      </c>
      <c r="B28" s="327"/>
      <c r="C28" s="327"/>
      <c r="D28" s="126"/>
      <c r="E28" s="126"/>
      <c r="F28" s="126"/>
      <c r="G28" s="126"/>
      <c r="H28" s="126"/>
      <c r="I28" s="126"/>
      <c r="J28" s="126"/>
      <c r="K28" s="126"/>
      <c r="L28" s="126"/>
      <c r="M28" s="135"/>
      <c r="N28" s="260" t="s">
        <v>367</v>
      </c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1"/>
      <c r="CV28" s="74"/>
    </row>
    <row r="29" spans="1:100" s="134" customFormat="1" ht="12" customHeight="1">
      <c r="A29" s="280" t="s">
        <v>349</v>
      </c>
      <c r="B29" s="281"/>
      <c r="C29" s="282"/>
      <c r="D29" s="328">
        <v>72887</v>
      </c>
      <c r="E29" s="329"/>
      <c r="F29" s="329"/>
      <c r="G29" s="329"/>
      <c r="H29" s="329"/>
      <c r="I29" s="329"/>
      <c r="J29" s="329"/>
      <c r="K29" s="329"/>
      <c r="L29" s="329"/>
      <c r="M29" s="330"/>
      <c r="N29" s="268" t="s">
        <v>347</v>
      </c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70"/>
      <c r="BF29" s="274">
        <v>1218.18</v>
      </c>
      <c r="BG29" s="275"/>
      <c r="BH29" s="275"/>
      <c r="BI29" s="275"/>
      <c r="BJ29" s="275"/>
      <c r="BK29" s="275"/>
      <c r="BL29" s="276"/>
      <c r="BM29" s="280" t="s">
        <v>361</v>
      </c>
      <c r="BN29" s="281"/>
      <c r="BO29" s="281"/>
      <c r="BP29" s="282"/>
      <c r="BQ29" s="286"/>
      <c r="BR29" s="287"/>
      <c r="BS29" s="287"/>
      <c r="BT29" s="287"/>
      <c r="BU29" s="288"/>
      <c r="BV29" s="292">
        <f>ROUND(BQ29*(1+$E$48),2)</f>
        <v>0</v>
      </c>
      <c r="BW29" s="293"/>
      <c r="BX29" s="293"/>
      <c r="BY29" s="293"/>
      <c r="BZ29" s="294"/>
      <c r="CA29" s="292">
        <f t="shared" ref="CA29" si="0">BF29*BQ29</f>
        <v>0</v>
      </c>
      <c r="CB29" s="293"/>
      <c r="CC29" s="293"/>
      <c r="CD29" s="293"/>
      <c r="CE29" s="293"/>
      <c r="CF29" s="293"/>
      <c r="CG29" s="293"/>
      <c r="CH29" s="293"/>
      <c r="CI29" s="293"/>
      <c r="CJ29" s="294"/>
      <c r="CK29" s="345">
        <f t="shared" ref="CK29" si="1">ROUND(BF29*BV29,2)</f>
        <v>0</v>
      </c>
      <c r="CL29" s="346"/>
      <c r="CM29" s="346"/>
      <c r="CN29" s="346"/>
      <c r="CO29" s="346"/>
      <c r="CP29" s="346"/>
      <c r="CQ29" s="346"/>
      <c r="CR29" s="346"/>
      <c r="CS29" s="346"/>
      <c r="CT29" s="346"/>
      <c r="CU29" s="347"/>
      <c r="CV29" s="133"/>
    </row>
    <row r="30" spans="1:100" s="134" customFormat="1" ht="12" customHeight="1">
      <c r="A30" s="334"/>
      <c r="B30" s="322"/>
      <c r="C30" s="335"/>
      <c r="D30" s="331"/>
      <c r="E30" s="332"/>
      <c r="F30" s="332"/>
      <c r="G30" s="332"/>
      <c r="H30" s="332"/>
      <c r="I30" s="332"/>
      <c r="J30" s="332"/>
      <c r="K30" s="332"/>
      <c r="L30" s="332"/>
      <c r="M30" s="333"/>
      <c r="N30" s="271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3"/>
      <c r="BF30" s="277"/>
      <c r="BG30" s="278"/>
      <c r="BH30" s="278"/>
      <c r="BI30" s="278"/>
      <c r="BJ30" s="278"/>
      <c r="BK30" s="278"/>
      <c r="BL30" s="279"/>
      <c r="BM30" s="283"/>
      <c r="BN30" s="284"/>
      <c r="BO30" s="284"/>
      <c r="BP30" s="285"/>
      <c r="BQ30" s="289"/>
      <c r="BR30" s="290"/>
      <c r="BS30" s="290"/>
      <c r="BT30" s="290"/>
      <c r="BU30" s="291"/>
      <c r="BV30" s="295"/>
      <c r="BW30" s="296"/>
      <c r="BX30" s="296"/>
      <c r="BY30" s="296"/>
      <c r="BZ30" s="297"/>
      <c r="CA30" s="295"/>
      <c r="CB30" s="296"/>
      <c r="CC30" s="296"/>
      <c r="CD30" s="296"/>
      <c r="CE30" s="296"/>
      <c r="CF30" s="296"/>
      <c r="CG30" s="296"/>
      <c r="CH30" s="296"/>
      <c r="CI30" s="296"/>
      <c r="CJ30" s="297"/>
      <c r="CK30" s="348"/>
      <c r="CL30" s="349"/>
      <c r="CM30" s="349"/>
      <c r="CN30" s="349"/>
      <c r="CO30" s="349"/>
      <c r="CP30" s="349"/>
      <c r="CQ30" s="349"/>
      <c r="CR30" s="349"/>
      <c r="CS30" s="349"/>
      <c r="CT30" s="349"/>
      <c r="CU30" s="350"/>
      <c r="CV30" s="133"/>
    </row>
    <row r="31" spans="1:100" s="134" customFormat="1" ht="12" customHeight="1">
      <c r="A31" s="319" t="s">
        <v>350</v>
      </c>
      <c r="B31" s="319"/>
      <c r="C31" s="319"/>
      <c r="D31" s="338">
        <v>72891</v>
      </c>
      <c r="E31" s="338"/>
      <c r="F31" s="338"/>
      <c r="G31" s="338"/>
      <c r="H31" s="338"/>
      <c r="I31" s="338"/>
      <c r="J31" s="338"/>
      <c r="K31" s="338"/>
      <c r="L31" s="338"/>
      <c r="M31" s="338"/>
      <c r="N31" s="339" t="s">
        <v>357</v>
      </c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42">
        <v>243.64</v>
      </c>
      <c r="BG31" s="342"/>
      <c r="BH31" s="342"/>
      <c r="BI31" s="342"/>
      <c r="BJ31" s="342"/>
      <c r="BK31" s="342"/>
      <c r="BL31" s="342"/>
      <c r="BM31" s="319" t="s">
        <v>48</v>
      </c>
      <c r="BN31" s="319"/>
      <c r="BO31" s="319"/>
      <c r="BP31" s="319"/>
      <c r="BQ31" s="235"/>
      <c r="BR31" s="235"/>
      <c r="BS31" s="235"/>
      <c r="BT31" s="235"/>
      <c r="BU31" s="235"/>
      <c r="BV31" s="267">
        <f>ROUND(BQ31*(1+$E$48),2)</f>
        <v>0</v>
      </c>
      <c r="BW31" s="267"/>
      <c r="BX31" s="267"/>
      <c r="BY31" s="267"/>
      <c r="BZ31" s="267"/>
      <c r="CA31" s="256">
        <f t="shared" ref="CA31:CA38" si="2">BF31*BQ31</f>
        <v>0</v>
      </c>
      <c r="CB31" s="256"/>
      <c r="CC31" s="256"/>
      <c r="CD31" s="256"/>
      <c r="CE31" s="256"/>
      <c r="CF31" s="256"/>
      <c r="CG31" s="256"/>
      <c r="CH31" s="256"/>
      <c r="CI31" s="256"/>
      <c r="CJ31" s="256"/>
      <c r="CK31" s="344">
        <f t="shared" ref="CK31:CK33" si="3">ROUND(BF31*BV31,2)</f>
        <v>0</v>
      </c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133"/>
    </row>
    <row r="32" spans="1:100" s="134" customFormat="1" ht="12" customHeight="1">
      <c r="A32" s="319"/>
      <c r="B32" s="319"/>
      <c r="C32" s="319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42"/>
      <c r="BG32" s="342"/>
      <c r="BH32" s="342"/>
      <c r="BI32" s="342"/>
      <c r="BJ32" s="342"/>
      <c r="BK32" s="342"/>
      <c r="BL32" s="342"/>
      <c r="BM32" s="319"/>
      <c r="BN32" s="319"/>
      <c r="BO32" s="319"/>
      <c r="BP32" s="319"/>
      <c r="BQ32" s="235"/>
      <c r="BR32" s="235"/>
      <c r="BS32" s="235"/>
      <c r="BT32" s="235"/>
      <c r="BU32" s="235"/>
      <c r="BV32" s="267"/>
      <c r="BW32" s="267"/>
      <c r="BX32" s="267"/>
      <c r="BY32" s="267"/>
      <c r="BZ32" s="267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133"/>
    </row>
    <row r="33" spans="1:100" s="134" customFormat="1" ht="12" customHeight="1">
      <c r="A33" s="319" t="s">
        <v>351</v>
      </c>
      <c r="B33" s="319"/>
      <c r="C33" s="319"/>
      <c r="D33" s="338">
        <v>72943</v>
      </c>
      <c r="E33" s="338"/>
      <c r="F33" s="338"/>
      <c r="G33" s="338"/>
      <c r="H33" s="338"/>
      <c r="I33" s="338"/>
      <c r="J33" s="338"/>
      <c r="K33" s="338"/>
      <c r="L33" s="338"/>
      <c r="M33" s="338"/>
      <c r="N33" s="340" t="s">
        <v>358</v>
      </c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2">
        <v>8121.2</v>
      </c>
      <c r="BG33" s="342"/>
      <c r="BH33" s="342"/>
      <c r="BI33" s="342"/>
      <c r="BJ33" s="342"/>
      <c r="BK33" s="342"/>
      <c r="BL33" s="342"/>
      <c r="BM33" s="319" t="s">
        <v>15</v>
      </c>
      <c r="BN33" s="319"/>
      <c r="BO33" s="319"/>
      <c r="BP33" s="319"/>
      <c r="BQ33" s="235"/>
      <c r="BR33" s="235"/>
      <c r="BS33" s="235"/>
      <c r="BT33" s="235"/>
      <c r="BU33" s="235"/>
      <c r="BV33" s="267">
        <f>ROUND(BQ33*(1+$E$48),2)</f>
        <v>0</v>
      </c>
      <c r="BW33" s="267"/>
      <c r="BX33" s="267"/>
      <c r="BY33" s="267"/>
      <c r="BZ33" s="267"/>
      <c r="CA33" s="256">
        <f t="shared" si="2"/>
        <v>0</v>
      </c>
      <c r="CB33" s="256"/>
      <c r="CC33" s="256"/>
      <c r="CD33" s="256"/>
      <c r="CE33" s="256"/>
      <c r="CF33" s="256"/>
      <c r="CG33" s="256"/>
      <c r="CH33" s="256"/>
      <c r="CI33" s="256"/>
      <c r="CJ33" s="256"/>
      <c r="CK33" s="344">
        <f t="shared" si="3"/>
        <v>0</v>
      </c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133"/>
    </row>
    <row r="34" spans="1:100" s="134" customFormat="1" ht="12" customHeight="1">
      <c r="A34" s="319" t="s">
        <v>352</v>
      </c>
      <c r="B34" s="319"/>
      <c r="C34" s="319"/>
      <c r="D34" s="338">
        <v>95990</v>
      </c>
      <c r="E34" s="338"/>
      <c r="F34" s="338"/>
      <c r="G34" s="338"/>
      <c r="H34" s="338"/>
      <c r="I34" s="338"/>
      <c r="J34" s="338"/>
      <c r="K34" s="338"/>
      <c r="L34" s="338"/>
      <c r="M34" s="338"/>
      <c r="N34" s="341" t="s">
        <v>359</v>
      </c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2">
        <v>243.64</v>
      </c>
      <c r="BG34" s="342"/>
      <c r="BH34" s="342"/>
      <c r="BI34" s="342"/>
      <c r="BJ34" s="342"/>
      <c r="BK34" s="342"/>
      <c r="BL34" s="342"/>
      <c r="BM34" s="319" t="s">
        <v>48</v>
      </c>
      <c r="BN34" s="319"/>
      <c r="BO34" s="319"/>
      <c r="BP34" s="319"/>
      <c r="BQ34" s="235"/>
      <c r="BR34" s="235"/>
      <c r="BS34" s="235"/>
      <c r="BT34" s="235"/>
      <c r="BU34" s="235"/>
      <c r="BV34" s="267">
        <f>ROUND(BQ34*(1+$E$48),2)</f>
        <v>0</v>
      </c>
      <c r="BW34" s="267"/>
      <c r="BX34" s="267"/>
      <c r="BY34" s="267"/>
      <c r="BZ34" s="267"/>
      <c r="CA34" s="256">
        <f t="shared" si="2"/>
        <v>0</v>
      </c>
      <c r="CB34" s="256"/>
      <c r="CC34" s="256"/>
      <c r="CD34" s="256"/>
      <c r="CE34" s="256"/>
      <c r="CF34" s="256"/>
      <c r="CG34" s="256"/>
      <c r="CH34" s="256"/>
      <c r="CI34" s="256"/>
      <c r="CJ34" s="256"/>
      <c r="CK34" s="344">
        <f t="shared" ref="CK34:CK38" si="4">ROUND(BF34*BV34,2)</f>
        <v>0</v>
      </c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133"/>
    </row>
    <row r="35" spans="1:100" s="134" customFormat="1" ht="12" customHeight="1">
      <c r="A35" s="319"/>
      <c r="B35" s="319"/>
      <c r="C35" s="319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2"/>
      <c r="BG35" s="342"/>
      <c r="BH35" s="342"/>
      <c r="BI35" s="342"/>
      <c r="BJ35" s="342"/>
      <c r="BK35" s="342"/>
      <c r="BL35" s="342"/>
      <c r="BM35" s="319"/>
      <c r="BN35" s="319"/>
      <c r="BO35" s="319"/>
      <c r="BP35" s="319"/>
      <c r="BQ35" s="235"/>
      <c r="BR35" s="235"/>
      <c r="BS35" s="235"/>
      <c r="BT35" s="235"/>
      <c r="BU35" s="235"/>
      <c r="BV35" s="267"/>
      <c r="BW35" s="267"/>
      <c r="BX35" s="267"/>
      <c r="BY35" s="267"/>
      <c r="BZ35" s="267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133"/>
    </row>
    <row r="36" spans="1:100" s="134" customFormat="1" ht="12" customHeight="1">
      <c r="A36" s="319"/>
      <c r="B36" s="319"/>
      <c r="C36" s="319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2">
        <v>1</v>
      </c>
      <c r="BG36" s="342"/>
      <c r="BH36" s="342"/>
      <c r="BI36" s="342"/>
      <c r="BJ36" s="342"/>
      <c r="BK36" s="342"/>
      <c r="BL36" s="342"/>
      <c r="BM36" s="319"/>
      <c r="BN36" s="319"/>
      <c r="BO36" s="319"/>
      <c r="BP36" s="319"/>
      <c r="BQ36" s="235"/>
      <c r="BR36" s="235"/>
      <c r="BS36" s="235"/>
      <c r="BT36" s="235"/>
      <c r="BU36" s="235"/>
      <c r="BV36" s="267"/>
      <c r="BW36" s="267"/>
      <c r="BX36" s="267"/>
      <c r="BY36" s="267"/>
      <c r="BZ36" s="267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344"/>
      <c r="CL36" s="344"/>
      <c r="CM36" s="344"/>
      <c r="CN36" s="344"/>
      <c r="CO36" s="344"/>
      <c r="CP36" s="344"/>
      <c r="CQ36" s="344"/>
      <c r="CR36" s="344"/>
      <c r="CS36" s="344"/>
      <c r="CT36" s="344"/>
      <c r="CU36" s="344"/>
      <c r="CV36" s="133"/>
    </row>
    <row r="37" spans="1:100" s="134" customFormat="1" ht="12" customHeight="1">
      <c r="A37" s="319" t="s">
        <v>353</v>
      </c>
      <c r="B37" s="319"/>
      <c r="C37" s="319"/>
      <c r="D37" s="338" t="s">
        <v>304</v>
      </c>
      <c r="E37" s="338"/>
      <c r="F37" s="338"/>
      <c r="G37" s="338"/>
      <c r="H37" s="338"/>
      <c r="I37" s="338"/>
      <c r="J37" s="338"/>
      <c r="K37" s="338"/>
      <c r="L37" s="338"/>
      <c r="M37" s="338"/>
      <c r="N37" s="340" t="s">
        <v>303</v>
      </c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3">
        <v>2</v>
      </c>
      <c r="BG37" s="343"/>
      <c r="BH37" s="343"/>
      <c r="BI37" s="343"/>
      <c r="BJ37" s="343"/>
      <c r="BK37" s="343"/>
      <c r="BL37" s="343"/>
      <c r="BM37" s="319" t="s">
        <v>295</v>
      </c>
      <c r="BN37" s="319"/>
      <c r="BO37" s="319"/>
      <c r="BP37" s="319"/>
      <c r="BQ37" s="235"/>
      <c r="BR37" s="235"/>
      <c r="BS37" s="235"/>
      <c r="BT37" s="235"/>
      <c r="BU37" s="235"/>
      <c r="BV37" s="267">
        <f>ROUND(BQ37*(1+$E$48),2)</f>
        <v>0</v>
      </c>
      <c r="BW37" s="267"/>
      <c r="BX37" s="267"/>
      <c r="BY37" s="267"/>
      <c r="BZ37" s="267"/>
      <c r="CA37" s="256">
        <f t="shared" si="2"/>
        <v>0</v>
      </c>
      <c r="CB37" s="256"/>
      <c r="CC37" s="256"/>
      <c r="CD37" s="256"/>
      <c r="CE37" s="256"/>
      <c r="CF37" s="256"/>
      <c r="CG37" s="256"/>
      <c r="CH37" s="256"/>
      <c r="CI37" s="256"/>
      <c r="CJ37" s="256"/>
      <c r="CK37" s="344">
        <f t="shared" si="4"/>
        <v>0</v>
      </c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133"/>
    </row>
    <row r="38" spans="1:100" s="134" customFormat="1" ht="12" customHeight="1" thickBot="1">
      <c r="A38" s="320" t="s">
        <v>354</v>
      </c>
      <c r="B38" s="320"/>
      <c r="C38" s="320"/>
      <c r="D38" s="325" t="s">
        <v>318</v>
      </c>
      <c r="E38" s="325"/>
      <c r="F38" s="325"/>
      <c r="G38" s="325"/>
      <c r="H38" s="325"/>
      <c r="I38" s="325"/>
      <c r="J38" s="325"/>
      <c r="K38" s="325"/>
      <c r="L38" s="325"/>
      <c r="M38" s="325"/>
      <c r="N38" s="351" t="s">
        <v>305</v>
      </c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3"/>
      <c r="BF38" s="337">
        <v>2</v>
      </c>
      <c r="BG38" s="337"/>
      <c r="BH38" s="337"/>
      <c r="BI38" s="337"/>
      <c r="BJ38" s="337"/>
      <c r="BK38" s="337"/>
      <c r="BL38" s="337"/>
      <c r="BM38" s="320" t="s">
        <v>295</v>
      </c>
      <c r="BN38" s="320"/>
      <c r="BO38" s="320"/>
      <c r="BP38" s="320"/>
      <c r="BQ38" s="234"/>
      <c r="BR38" s="234"/>
      <c r="BS38" s="234"/>
      <c r="BT38" s="234"/>
      <c r="BU38" s="234"/>
      <c r="BV38" s="236">
        <f>ROUND(BQ38*(1+$E$48),2)</f>
        <v>0</v>
      </c>
      <c r="BW38" s="236"/>
      <c r="BX38" s="236"/>
      <c r="BY38" s="236"/>
      <c r="BZ38" s="236"/>
      <c r="CA38" s="236">
        <f t="shared" si="2"/>
        <v>0</v>
      </c>
      <c r="CB38" s="236"/>
      <c r="CC38" s="236"/>
      <c r="CD38" s="236"/>
      <c r="CE38" s="236"/>
      <c r="CF38" s="236"/>
      <c r="CG38" s="236"/>
      <c r="CH38" s="236"/>
      <c r="CI38" s="236"/>
      <c r="CJ38" s="236"/>
      <c r="CK38" s="336">
        <f t="shared" si="4"/>
        <v>0</v>
      </c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133"/>
    </row>
    <row r="39" spans="1:100" s="79" customFormat="1" ht="12" customHeight="1" thickBot="1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0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9"/>
      <c r="BR39" s="129"/>
      <c r="BS39" s="129"/>
      <c r="BT39" s="217" t="s">
        <v>319</v>
      </c>
      <c r="BU39" s="218"/>
      <c r="BV39" s="218"/>
      <c r="BW39" s="218"/>
      <c r="BX39" s="218"/>
      <c r="BY39" s="218"/>
      <c r="BZ39" s="219"/>
      <c r="CA39" s="257">
        <f>SUM(CA29:CA38)</f>
        <v>0</v>
      </c>
      <c r="CB39" s="258"/>
      <c r="CC39" s="258"/>
      <c r="CD39" s="258"/>
      <c r="CE39" s="258"/>
      <c r="CF39" s="258"/>
      <c r="CG39" s="258"/>
      <c r="CH39" s="258"/>
      <c r="CI39" s="258"/>
      <c r="CJ39" s="259"/>
      <c r="CK39" s="261">
        <f>SUM(CK29:CK38)</f>
        <v>0</v>
      </c>
      <c r="CL39" s="262"/>
      <c r="CM39" s="262"/>
      <c r="CN39" s="262"/>
      <c r="CO39" s="262"/>
      <c r="CP39" s="262"/>
      <c r="CQ39" s="262"/>
      <c r="CR39" s="262"/>
      <c r="CS39" s="262"/>
      <c r="CT39" s="262"/>
      <c r="CU39" s="263"/>
      <c r="CV39" s="124"/>
    </row>
    <row r="40" spans="1:100" ht="12" customHeight="1" thickBot="1">
      <c r="A40" s="326">
        <v>2</v>
      </c>
      <c r="B40" s="327"/>
      <c r="C40" s="327"/>
      <c r="D40" s="126"/>
      <c r="E40" s="126"/>
      <c r="F40" s="126"/>
      <c r="G40" s="126"/>
      <c r="H40" s="126"/>
      <c r="I40" s="126"/>
      <c r="J40" s="126"/>
      <c r="K40" s="126"/>
      <c r="L40" s="126"/>
      <c r="M40" s="135"/>
      <c r="N40" s="260" t="s">
        <v>360</v>
      </c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1"/>
      <c r="CV40" s="74"/>
    </row>
    <row r="41" spans="1:100" ht="12" customHeight="1" thickBot="1">
      <c r="A41" s="326" t="s">
        <v>291</v>
      </c>
      <c r="B41" s="327"/>
      <c r="C41" s="327"/>
      <c r="D41" s="126"/>
      <c r="E41" s="126"/>
      <c r="F41" s="126"/>
      <c r="G41" s="126"/>
      <c r="H41" s="126"/>
      <c r="I41" s="126"/>
      <c r="J41" s="126"/>
      <c r="K41" s="126"/>
      <c r="L41" s="126"/>
      <c r="M41" s="135"/>
      <c r="N41" s="260" t="s">
        <v>362</v>
      </c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1"/>
      <c r="CV41" s="74"/>
    </row>
    <row r="42" spans="1:100" ht="24" customHeight="1">
      <c r="A42" s="323" t="s">
        <v>363</v>
      </c>
      <c r="B42" s="323"/>
      <c r="C42" s="323"/>
      <c r="D42" s="324" t="s">
        <v>313</v>
      </c>
      <c r="E42" s="324"/>
      <c r="F42" s="324"/>
      <c r="G42" s="324"/>
      <c r="H42" s="324"/>
      <c r="I42" s="324"/>
      <c r="J42" s="324"/>
      <c r="K42" s="324"/>
      <c r="L42" s="324"/>
      <c r="M42" s="324"/>
      <c r="N42" s="233" t="s">
        <v>374</v>
      </c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7">
        <v>8</v>
      </c>
      <c r="BG42" s="237"/>
      <c r="BH42" s="237"/>
      <c r="BI42" s="237"/>
      <c r="BJ42" s="237"/>
      <c r="BK42" s="237"/>
      <c r="BL42" s="237"/>
      <c r="BM42" s="323" t="s">
        <v>375</v>
      </c>
      <c r="BN42" s="323"/>
      <c r="BO42" s="323"/>
      <c r="BP42" s="323"/>
      <c r="BQ42" s="234"/>
      <c r="BR42" s="234"/>
      <c r="BS42" s="234"/>
      <c r="BT42" s="234"/>
      <c r="BU42" s="234"/>
      <c r="BV42" s="236">
        <f>ROUND(BQ42*(1+$E$48),2)</f>
        <v>0</v>
      </c>
      <c r="BW42" s="236"/>
      <c r="BX42" s="236"/>
      <c r="BY42" s="236"/>
      <c r="BZ42" s="236"/>
      <c r="CA42" s="255">
        <f>BF42*BQ42</f>
        <v>0</v>
      </c>
      <c r="CB42" s="255"/>
      <c r="CC42" s="255"/>
      <c r="CD42" s="255"/>
      <c r="CE42" s="255"/>
      <c r="CF42" s="255"/>
      <c r="CG42" s="255"/>
      <c r="CH42" s="255"/>
      <c r="CI42" s="255"/>
      <c r="CJ42" s="255"/>
      <c r="CK42" s="254">
        <f>ROUND(BF42*BV42,2)</f>
        <v>0</v>
      </c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74"/>
    </row>
    <row r="43" spans="1:100" ht="24" customHeight="1">
      <c r="A43" s="323" t="s">
        <v>364</v>
      </c>
      <c r="B43" s="323"/>
      <c r="C43" s="323"/>
      <c r="D43" s="324" t="s">
        <v>314</v>
      </c>
      <c r="E43" s="324"/>
      <c r="F43" s="324"/>
      <c r="G43" s="324"/>
      <c r="H43" s="324"/>
      <c r="I43" s="324"/>
      <c r="J43" s="324"/>
      <c r="K43" s="324"/>
      <c r="L43" s="324"/>
      <c r="M43" s="324"/>
      <c r="N43" s="233" t="s">
        <v>374</v>
      </c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7">
        <v>2</v>
      </c>
      <c r="BG43" s="237"/>
      <c r="BH43" s="237"/>
      <c r="BI43" s="237"/>
      <c r="BJ43" s="237"/>
      <c r="BK43" s="237"/>
      <c r="BL43" s="237"/>
      <c r="BM43" s="323" t="s">
        <v>375</v>
      </c>
      <c r="BN43" s="323"/>
      <c r="BO43" s="323"/>
      <c r="BP43" s="323"/>
      <c r="BQ43" s="234"/>
      <c r="BR43" s="234"/>
      <c r="BS43" s="234"/>
      <c r="BT43" s="234"/>
      <c r="BU43" s="234"/>
      <c r="BV43" s="236">
        <f t="shared" ref="BV43:BV46" si="5">ROUND(BQ43*(1+$E$48),2)</f>
        <v>0</v>
      </c>
      <c r="BW43" s="236"/>
      <c r="BX43" s="236"/>
      <c r="BY43" s="236"/>
      <c r="BZ43" s="236"/>
      <c r="CA43" s="255">
        <f t="shared" ref="CA43:CA46" si="6">BF43*BQ43</f>
        <v>0</v>
      </c>
      <c r="CB43" s="255"/>
      <c r="CC43" s="255"/>
      <c r="CD43" s="255"/>
      <c r="CE43" s="255"/>
      <c r="CF43" s="255"/>
      <c r="CG43" s="255"/>
      <c r="CH43" s="255"/>
      <c r="CI43" s="255"/>
      <c r="CJ43" s="255"/>
      <c r="CK43" s="254">
        <f t="shared" ref="CK43:CK46" si="7">ROUND(BF43*BV43,2)</f>
        <v>0</v>
      </c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74"/>
    </row>
    <row r="44" spans="1:100" ht="24" customHeight="1">
      <c r="A44" s="323" t="s">
        <v>371</v>
      </c>
      <c r="B44" s="323"/>
      <c r="C44" s="323"/>
      <c r="D44" s="324" t="s">
        <v>368</v>
      </c>
      <c r="E44" s="324"/>
      <c r="F44" s="324"/>
      <c r="G44" s="324"/>
      <c r="H44" s="324"/>
      <c r="I44" s="324"/>
      <c r="J44" s="324"/>
      <c r="K44" s="324"/>
      <c r="L44" s="324"/>
      <c r="M44" s="324"/>
      <c r="N44" s="233" t="s">
        <v>374</v>
      </c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7">
        <v>4</v>
      </c>
      <c r="BG44" s="237"/>
      <c r="BH44" s="237"/>
      <c r="BI44" s="237"/>
      <c r="BJ44" s="237"/>
      <c r="BK44" s="237"/>
      <c r="BL44" s="237"/>
      <c r="BM44" s="323" t="s">
        <v>375</v>
      </c>
      <c r="BN44" s="323"/>
      <c r="BO44" s="323"/>
      <c r="BP44" s="323"/>
      <c r="BQ44" s="234"/>
      <c r="BR44" s="234"/>
      <c r="BS44" s="234"/>
      <c r="BT44" s="234"/>
      <c r="BU44" s="234"/>
      <c r="BV44" s="236">
        <f t="shared" si="5"/>
        <v>0</v>
      </c>
      <c r="BW44" s="236"/>
      <c r="BX44" s="236"/>
      <c r="BY44" s="236"/>
      <c r="BZ44" s="236"/>
      <c r="CA44" s="255">
        <f t="shared" si="6"/>
        <v>0</v>
      </c>
      <c r="CB44" s="255"/>
      <c r="CC44" s="255"/>
      <c r="CD44" s="255"/>
      <c r="CE44" s="255"/>
      <c r="CF44" s="255"/>
      <c r="CG44" s="255"/>
      <c r="CH44" s="255"/>
      <c r="CI44" s="255"/>
      <c r="CJ44" s="255"/>
      <c r="CK44" s="254">
        <f t="shared" si="7"/>
        <v>0</v>
      </c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74"/>
    </row>
    <row r="45" spans="1:100" ht="24" customHeight="1">
      <c r="A45" s="323" t="s">
        <v>372</v>
      </c>
      <c r="B45" s="323"/>
      <c r="C45" s="323"/>
      <c r="D45" s="324" t="s">
        <v>369</v>
      </c>
      <c r="E45" s="324"/>
      <c r="F45" s="324"/>
      <c r="G45" s="324"/>
      <c r="H45" s="324"/>
      <c r="I45" s="324"/>
      <c r="J45" s="324"/>
      <c r="K45" s="324"/>
      <c r="L45" s="324"/>
      <c r="M45" s="324"/>
      <c r="N45" s="233" t="s">
        <v>374</v>
      </c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7">
        <v>1</v>
      </c>
      <c r="BG45" s="237"/>
      <c r="BH45" s="237"/>
      <c r="BI45" s="237"/>
      <c r="BJ45" s="237"/>
      <c r="BK45" s="237"/>
      <c r="BL45" s="237"/>
      <c r="BM45" s="323" t="s">
        <v>375</v>
      </c>
      <c r="BN45" s="323"/>
      <c r="BO45" s="323"/>
      <c r="BP45" s="323"/>
      <c r="BQ45" s="234"/>
      <c r="BR45" s="234"/>
      <c r="BS45" s="234"/>
      <c r="BT45" s="234"/>
      <c r="BU45" s="234"/>
      <c r="BV45" s="236">
        <f t="shared" si="5"/>
        <v>0</v>
      </c>
      <c r="BW45" s="236"/>
      <c r="BX45" s="236"/>
      <c r="BY45" s="236"/>
      <c r="BZ45" s="236"/>
      <c r="CA45" s="255">
        <f t="shared" si="6"/>
        <v>0</v>
      </c>
      <c r="CB45" s="255"/>
      <c r="CC45" s="255"/>
      <c r="CD45" s="255"/>
      <c r="CE45" s="255"/>
      <c r="CF45" s="255"/>
      <c r="CG45" s="255"/>
      <c r="CH45" s="255"/>
      <c r="CI45" s="255"/>
      <c r="CJ45" s="255"/>
      <c r="CK45" s="254">
        <f t="shared" si="7"/>
        <v>0</v>
      </c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74"/>
    </row>
    <row r="46" spans="1:100" ht="24" customHeight="1" thickBot="1">
      <c r="A46" s="323" t="s">
        <v>373</v>
      </c>
      <c r="B46" s="323"/>
      <c r="C46" s="323"/>
      <c r="D46" s="324" t="s">
        <v>370</v>
      </c>
      <c r="E46" s="324"/>
      <c r="F46" s="324"/>
      <c r="G46" s="324"/>
      <c r="H46" s="324"/>
      <c r="I46" s="324"/>
      <c r="J46" s="324"/>
      <c r="K46" s="324"/>
      <c r="L46" s="324"/>
      <c r="M46" s="324"/>
      <c r="N46" s="233" t="s">
        <v>374</v>
      </c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7">
        <v>4</v>
      </c>
      <c r="BG46" s="237"/>
      <c r="BH46" s="237"/>
      <c r="BI46" s="237"/>
      <c r="BJ46" s="237"/>
      <c r="BK46" s="237"/>
      <c r="BL46" s="237"/>
      <c r="BM46" s="323" t="s">
        <v>375</v>
      </c>
      <c r="BN46" s="323"/>
      <c r="BO46" s="323"/>
      <c r="BP46" s="323"/>
      <c r="BQ46" s="234"/>
      <c r="BR46" s="234"/>
      <c r="BS46" s="234"/>
      <c r="BT46" s="234"/>
      <c r="BU46" s="234"/>
      <c r="BV46" s="236">
        <f t="shared" si="5"/>
        <v>0</v>
      </c>
      <c r="BW46" s="236"/>
      <c r="BX46" s="236"/>
      <c r="BY46" s="236"/>
      <c r="BZ46" s="236"/>
      <c r="CA46" s="255">
        <f t="shared" si="6"/>
        <v>0</v>
      </c>
      <c r="CB46" s="255"/>
      <c r="CC46" s="255"/>
      <c r="CD46" s="255"/>
      <c r="CE46" s="255"/>
      <c r="CF46" s="255"/>
      <c r="CG46" s="255"/>
      <c r="CH46" s="255"/>
      <c r="CI46" s="255"/>
      <c r="CJ46" s="255"/>
      <c r="CK46" s="254">
        <f t="shared" si="7"/>
        <v>0</v>
      </c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74"/>
    </row>
    <row r="47" spans="1:100" s="79" customFormat="1" ht="12" customHeight="1" thickBot="1">
      <c r="A47" s="187"/>
      <c r="B47" s="187"/>
      <c r="C47" s="187"/>
      <c r="D47" s="137"/>
      <c r="E47" s="137"/>
      <c r="F47" s="137"/>
      <c r="G47" s="137"/>
      <c r="H47" s="137"/>
      <c r="I47" s="137"/>
      <c r="J47" s="137"/>
      <c r="K47" s="137"/>
      <c r="L47" s="137"/>
      <c r="M47" s="127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29"/>
      <c r="BR47" s="129"/>
      <c r="BS47" s="129"/>
      <c r="BT47" s="214" t="s">
        <v>319</v>
      </c>
      <c r="BU47" s="215"/>
      <c r="BV47" s="215"/>
      <c r="BW47" s="215"/>
      <c r="BX47" s="215"/>
      <c r="BY47" s="215"/>
      <c r="BZ47" s="216"/>
      <c r="CA47" s="248">
        <f>SUM(CA42:CA46)</f>
        <v>0</v>
      </c>
      <c r="CB47" s="249"/>
      <c r="CC47" s="249"/>
      <c r="CD47" s="249"/>
      <c r="CE47" s="249"/>
      <c r="CF47" s="249"/>
      <c r="CG47" s="249"/>
      <c r="CH47" s="249"/>
      <c r="CI47" s="249"/>
      <c r="CJ47" s="250"/>
      <c r="CK47" s="251">
        <f>SUM(CK42:CK46)</f>
        <v>0</v>
      </c>
      <c r="CL47" s="252"/>
      <c r="CM47" s="252"/>
      <c r="CN47" s="252"/>
      <c r="CO47" s="252"/>
      <c r="CP47" s="252"/>
      <c r="CQ47" s="252"/>
      <c r="CR47" s="252"/>
      <c r="CS47" s="252"/>
      <c r="CT47" s="252"/>
      <c r="CU47" s="253"/>
      <c r="CV47" s="124"/>
    </row>
    <row r="48" spans="1:100" s="75" customFormat="1" ht="12" customHeight="1">
      <c r="A48" s="188" t="s">
        <v>292</v>
      </c>
      <c r="B48" s="188"/>
      <c r="C48" s="188"/>
      <c r="D48" s="188"/>
      <c r="E48" s="189">
        <f>BDI!U24</f>
        <v>2.0400000000000001E-2</v>
      </c>
      <c r="F48" s="189"/>
      <c r="G48" s="189"/>
      <c r="H48" s="189"/>
      <c r="I48" s="189"/>
      <c r="J48" s="189"/>
      <c r="K48" s="190" t="s">
        <v>300</v>
      </c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226" t="s">
        <v>306</v>
      </c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8"/>
      <c r="CK48" s="220">
        <f>CK27+CK39+CK47</f>
        <v>0</v>
      </c>
      <c r="CL48" s="221"/>
      <c r="CM48" s="221"/>
      <c r="CN48" s="221"/>
      <c r="CO48" s="221"/>
      <c r="CP48" s="221"/>
      <c r="CQ48" s="221"/>
      <c r="CR48" s="221"/>
      <c r="CS48" s="221"/>
      <c r="CT48" s="221"/>
      <c r="CU48" s="222"/>
      <c r="CV48" s="76"/>
    </row>
    <row r="49" spans="1:101" s="75" customFormat="1" ht="12" customHeight="1" thickBot="1">
      <c r="A49" s="94" t="s">
        <v>320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229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1"/>
      <c r="CK49" s="223"/>
      <c r="CL49" s="224"/>
      <c r="CM49" s="224"/>
      <c r="CN49" s="224"/>
      <c r="CO49" s="224"/>
      <c r="CP49" s="224"/>
      <c r="CQ49" s="224"/>
      <c r="CR49" s="224"/>
      <c r="CS49" s="224"/>
      <c r="CT49" s="224"/>
      <c r="CU49" s="225"/>
      <c r="CV49" s="76"/>
    </row>
    <row r="50" spans="1:101" ht="12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139"/>
      <c r="BR50" s="139"/>
      <c r="BS50" s="139"/>
      <c r="BT50" s="139"/>
      <c r="BU50" s="139"/>
      <c r="BV50" s="139"/>
      <c r="BW50" s="95"/>
      <c r="BX50" s="95"/>
      <c r="BY50" s="95"/>
      <c r="BZ50" s="95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74"/>
    </row>
    <row r="51" spans="1:101" s="77" customFormat="1" ht="12" customHeight="1">
      <c r="A51" s="239" t="s">
        <v>336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96"/>
      <c r="BQ51" s="232" t="s">
        <v>315</v>
      </c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12"/>
      <c r="CC51" s="212"/>
      <c r="CD51" s="212"/>
      <c r="CE51" s="212"/>
      <c r="CF51" s="212"/>
      <c r="CG51" s="212"/>
      <c r="CH51" s="97"/>
      <c r="CI51" s="213" t="s">
        <v>322</v>
      </c>
      <c r="CJ51" s="213"/>
      <c r="CK51" s="213"/>
      <c r="CL51" s="213"/>
      <c r="CM51" s="213"/>
      <c r="CN51" s="213"/>
      <c r="CO51" s="213"/>
      <c r="CP51" s="140"/>
      <c r="CQ51" s="140"/>
      <c r="CR51" s="140"/>
      <c r="CS51" s="140"/>
      <c r="CT51" s="140"/>
      <c r="CU51" s="140"/>
      <c r="CV51" s="78"/>
      <c r="CW51" s="78"/>
    </row>
    <row r="52" spans="1:101" s="77" customFormat="1" ht="12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96"/>
      <c r="BQ52" s="232" t="s">
        <v>316</v>
      </c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11"/>
      <c r="CC52" s="211"/>
      <c r="CD52" s="211"/>
      <c r="CE52" s="211"/>
      <c r="CF52" s="98" t="s">
        <v>321</v>
      </c>
      <c r="CG52" s="98"/>
      <c r="CH52" s="98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78"/>
      <c r="CW52" s="78"/>
    </row>
    <row r="53" spans="1:101" s="82" customFormat="1" ht="12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</row>
    <row r="54" spans="1:101" s="82" customFormat="1" ht="12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</row>
    <row r="55" spans="1:101" s="82" customFormat="1" ht="12" customHeight="1">
      <c r="A55" s="91"/>
      <c r="B55" s="91"/>
      <c r="C55" s="91"/>
      <c r="D55" s="91" t="s">
        <v>334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</row>
    <row r="56" spans="1:101" s="82" customFormat="1" ht="12" customHeight="1">
      <c r="A56" s="91"/>
      <c r="B56" s="91"/>
      <c r="C56" s="91"/>
      <c r="D56" s="91" t="s">
        <v>331</v>
      </c>
      <c r="E56" s="91"/>
      <c r="F56" s="91"/>
      <c r="G56" s="91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91"/>
      <c r="AV56" s="91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</row>
    <row r="57" spans="1:101" s="82" customFormat="1" ht="12" customHeight="1">
      <c r="A57" s="91"/>
      <c r="B57" s="91"/>
      <c r="C57" s="91"/>
      <c r="D57" s="91" t="s">
        <v>332</v>
      </c>
      <c r="E57" s="91"/>
      <c r="F57" s="91"/>
      <c r="G57" s="91"/>
      <c r="H57" s="91"/>
      <c r="I57" s="91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186" t="s">
        <v>335</v>
      </c>
      <c r="AX57" s="186"/>
      <c r="AY57" s="186"/>
      <c r="AZ57" s="186"/>
      <c r="BA57" s="186"/>
      <c r="BB57" s="186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</row>
    <row r="58" spans="1:101" s="82" customFormat="1" ht="15" customHeight="1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</row>
    <row r="59" spans="1:101" s="82" customFormat="1" ht="15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</row>
    <row r="60" spans="1:101" s="82" customFormat="1" ht="1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</row>
    <row r="61" spans="1:101" s="82" customFormat="1" ht="15" customHeight="1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</row>
    <row r="62" spans="1:101" s="82" customFormat="1" ht="15" customHeigh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</row>
    <row r="63" spans="1:101" s="82" customFormat="1" ht="1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</row>
    <row r="64" spans="1:101" s="82" customFormat="1" ht="1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</row>
    <row r="65" spans="1:24" s="82" customFormat="1" ht="15" customHeight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</row>
    <row r="66" spans="1:24" s="82" customFormat="1" ht="15" customHeight="1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</row>
    <row r="67" spans="1:24" s="82" customFormat="1" ht="15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</row>
    <row r="68" spans="1:24" s="82" customFormat="1" ht="15" customHeight="1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</row>
    <row r="69" spans="1:24" s="82" customFormat="1" ht="15" customHeight="1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</row>
    <row r="70" spans="1:24" s="82" customFormat="1" ht="15" customHeight="1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</row>
    <row r="71" spans="1:24" s="82" customFormat="1" ht="15" customHeight="1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</row>
    <row r="72" spans="1:24" s="82" customFormat="1" ht="15" customHeight="1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</row>
    <row r="73" spans="1:24" s="82" customFormat="1" ht="15" customHeight="1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</row>
    <row r="74" spans="1:24" s="82" customFormat="1" ht="15" customHeight="1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</row>
    <row r="75" spans="1:24" s="82" customFormat="1" ht="15" customHeight="1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</row>
    <row r="76" spans="1:24" s="82" customFormat="1" ht="15" customHeight="1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</row>
    <row r="77" spans="1:24" s="82" customFormat="1" ht="15" customHeight="1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</row>
    <row r="78" spans="1:24" s="82" customFormat="1" ht="15" customHeight="1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</row>
    <row r="79" spans="1:24" s="82" customFormat="1" ht="15" customHeight="1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</row>
    <row r="80" spans="1:24" s="82" customFormat="1" ht="15" customHeight="1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</row>
    <row r="81" spans="1:24" s="82" customFormat="1" ht="15" customHeight="1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</row>
    <row r="82" spans="1:24" s="82" customFormat="1" ht="15" customHeight="1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</row>
    <row r="83" spans="1:24" s="82" customFormat="1" ht="15" customHeight="1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</row>
    <row r="84" spans="1:24" s="82" customFormat="1" ht="15" customHeight="1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</row>
    <row r="85" spans="1:24" s="82" customFormat="1" ht="15" customHeight="1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</row>
    <row r="86" spans="1:24" s="82" customFormat="1" ht="15" customHeight="1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</row>
    <row r="87" spans="1:24" s="82" customFormat="1" ht="15" customHeight="1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</row>
    <row r="88" spans="1:24" s="82" customFormat="1" ht="15" customHeight="1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</row>
    <row r="89" spans="1:24" s="82" customFormat="1" ht="15" customHeight="1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</row>
    <row r="90" spans="1:24" s="82" customFormat="1" ht="15" customHeight="1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</row>
    <row r="91" spans="1:24" s="82" customFormat="1" ht="15" customHeight="1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</row>
    <row r="92" spans="1:24" s="82" customFormat="1" ht="15" customHeight="1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</row>
    <row r="93" spans="1:24" s="82" customFormat="1" ht="15" customHeight="1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</row>
  </sheetData>
  <sheetProtection password="CB75" sheet="1" objects="1" scenarios="1"/>
  <protectedRanges>
    <protectedRange password="C4B2" sqref="R10 L13 BZ13 J14 BT14 K15 BE15 M17 E18 N19 BQ26 J57 H56 BQ42:BQ46 BQ29:BQ38 P51 CB51:CB52" name="Dados Licitante" securityDescriptor="O:WDG:WDD:(A;;CC;;;WD)"/>
  </protectedRanges>
  <mergeCells count="250">
    <mergeCell ref="BF34:BL36"/>
    <mergeCell ref="BM33:BP33"/>
    <mergeCell ref="CK29:CU30"/>
    <mergeCell ref="N43:BE43"/>
    <mergeCell ref="N44:BE44"/>
    <mergeCell ref="N45:BE45"/>
    <mergeCell ref="BF43:BL43"/>
    <mergeCell ref="BF44:BL44"/>
    <mergeCell ref="BF45:BL45"/>
    <mergeCell ref="BM43:BP43"/>
    <mergeCell ref="BM44:BP44"/>
    <mergeCell ref="BM45:BP45"/>
    <mergeCell ref="N41:CU41"/>
    <mergeCell ref="N38:BE38"/>
    <mergeCell ref="BV31:BZ32"/>
    <mergeCell ref="CA31:CJ32"/>
    <mergeCell ref="CK31:CU32"/>
    <mergeCell ref="BM34:BP36"/>
    <mergeCell ref="BQ34:BU36"/>
    <mergeCell ref="BV34:BZ36"/>
    <mergeCell ref="CA34:CJ36"/>
    <mergeCell ref="CK34:CU36"/>
    <mergeCell ref="BV33:BZ33"/>
    <mergeCell ref="CA33:CJ33"/>
    <mergeCell ref="CK33:CU33"/>
    <mergeCell ref="BM42:BP42"/>
    <mergeCell ref="BM46:BP46"/>
    <mergeCell ref="A37:C37"/>
    <mergeCell ref="BM38:BP38"/>
    <mergeCell ref="BF42:BL42"/>
    <mergeCell ref="CK38:CU38"/>
    <mergeCell ref="BF38:BL38"/>
    <mergeCell ref="N46:BE46"/>
    <mergeCell ref="A25:C25"/>
    <mergeCell ref="N25:CU25"/>
    <mergeCell ref="A28:C28"/>
    <mergeCell ref="A33:C33"/>
    <mergeCell ref="D33:M33"/>
    <mergeCell ref="D37:M37"/>
    <mergeCell ref="N31:BE32"/>
    <mergeCell ref="D31:M32"/>
    <mergeCell ref="A31:C32"/>
    <mergeCell ref="N33:BE33"/>
    <mergeCell ref="D34:M36"/>
    <mergeCell ref="N34:BE36"/>
    <mergeCell ref="N37:BE37"/>
    <mergeCell ref="BF33:BL33"/>
    <mergeCell ref="BF31:BL32"/>
    <mergeCell ref="BM26:BP26"/>
    <mergeCell ref="A27:C27"/>
    <mergeCell ref="A38:C38"/>
    <mergeCell ref="A42:C42"/>
    <mergeCell ref="A46:C46"/>
    <mergeCell ref="D46:M46"/>
    <mergeCell ref="D21:M23"/>
    <mergeCell ref="D26:M26"/>
    <mergeCell ref="D42:M42"/>
    <mergeCell ref="D38:M38"/>
    <mergeCell ref="A41:C41"/>
    <mergeCell ref="A40:C40"/>
    <mergeCell ref="D43:M43"/>
    <mergeCell ref="D44:M44"/>
    <mergeCell ref="D45:M45"/>
    <mergeCell ref="A43:C43"/>
    <mergeCell ref="A44:C44"/>
    <mergeCell ref="A45:C45"/>
    <mergeCell ref="D29:M30"/>
    <mergeCell ref="A29:C30"/>
    <mergeCell ref="A34:C36"/>
    <mergeCell ref="A5:CU6"/>
    <mergeCell ref="A18:D18"/>
    <mergeCell ref="A19:M19"/>
    <mergeCell ref="E18:U18"/>
    <mergeCell ref="N19:X19"/>
    <mergeCell ref="BF26:BL26"/>
    <mergeCell ref="BQ21:BZ21"/>
    <mergeCell ref="BQ22:BU23"/>
    <mergeCell ref="BQ26:BU26"/>
    <mergeCell ref="R10:V10"/>
    <mergeCell ref="W10:Z10"/>
    <mergeCell ref="L13:BS13"/>
    <mergeCell ref="BN14:BS14"/>
    <mergeCell ref="D13:K13"/>
    <mergeCell ref="D9:CH9"/>
    <mergeCell ref="N21:BE23"/>
    <mergeCell ref="CA22:CJ23"/>
    <mergeCell ref="CA21:CU21"/>
    <mergeCell ref="CK22:CU23"/>
    <mergeCell ref="BZ13:CJ13"/>
    <mergeCell ref="BU13:BY13"/>
    <mergeCell ref="CC8:CT8"/>
    <mergeCell ref="A21:C23"/>
    <mergeCell ref="A26:C26"/>
    <mergeCell ref="CA26:CJ26"/>
    <mergeCell ref="CA38:CJ38"/>
    <mergeCell ref="CA37:CJ37"/>
    <mergeCell ref="CA39:CJ39"/>
    <mergeCell ref="N28:CU28"/>
    <mergeCell ref="N40:CU40"/>
    <mergeCell ref="N26:BE26"/>
    <mergeCell ref="CK26:CU26"/>
    <mergeCell ref="CK39:CU39"/>
    <mergeCell ref="CK27:CU27"/>
    <mergeCell ref="BV37:BZ37"/>
    <mergeCell ref="N29:BE30"/>
    <mergeCell ref="BF29:BL30"/>
    <mergeCell ref="BM29:BP30"/>
    <mergeCell ref="BQ29:BU30"/>
    <mergeCell ref="BV29:BZ30"/>
    <mergeCell ref="CA29:CJ30"/>
    <mergeCell ref="CA27:CJ27"/>
    <mergeCell ref="BM37:BP37"/>
    <mergeCell ref="BF37:BL37"/>
    <mergeCell ref="CK37:CU37"/>
    <mergeCell ref="BQ33:BU33"/>
    <mergeCell ref="BM31:BP32"/>
    <mergeCell ref="BQ31:BU32"/>
    <mergeCell ref="CK42:CU42"/>
    <mergeCell ref="CK44:CU44"/>
    <mergeCell ref="BV42:BZ42"/>
    <mergeCell ref="BV46:BZ46"/>
    <mergeCell ref="BQ42:BU42"/>
    <mergeCell ref="BQ46:BU46"/>
    <mergeCell ref="BV44:BZ44"/>
    <mergeCell ref="BQ43:BU43"/>
    <mergeCell ref="BQ44:BU44"/>
    <mergeCell ref="BQ45:BU45"/>
    <mergeCell ref="BV43:BZ43"/>
    <mergeCell ref="BV45:BZ45"/>
    <mergeCell ref="CA43:CJ43"/>
    <mergeCell ref="CK43:CU43"/>
    <mergeCell ref="CA45:CJ45"/>
    <mergeCell ref="CK45:CU45"/>
    <mergeCell ref="CA46:CJ46"/>
    <mergeCell ref="CA42:CJ42"/>
    <mergeCell ref="CA44:CJ44"/>
    <mergeCell ref="CK46:CU46"/>
    <mergeCell ref="BT14:CJ14"/>
    <mergeCell ref="D15:J15"/>
    <mergeCell ref="D14:I14"/>
    <mergeCell ref="J14:BL14"/>
    <mergeCell ref="K15:AY15"/>
    <mergeCell ref="BB15:BD15"/>
    <mergeCell ref="BE15:CJ15"/>
    <mergeCell ref="A17:L17"/>
    <mergeCell ref="M17:BO17"/>
    <mergeCell ref="BF21:BL23"/>
    <mergeCell ref="N24:CU24"/>
    <mergeCell ref="BM21:BP23"/>
    <mergeCell ref="CB52:CE52"/>
    <mergeCell ref="CB51:CG51"/>
    <mergeCell ref="CI51:CO51"/>
    <mergeCell ref="BT47:BZ47"/>
    <mergeCell ref="BT39:BZ39"/>
    <mergeCell ref="BT27:BZ27"/>
    <mergeCell ref="CK48:CU49"/>
    <mergeCell ref="BW48:CJ49"/>
    <mergeCell ref="BQ51:CA51"/>
    <mergeCell ref="BQ52:CA52"/>
    <mergeCell ref="N42:BE42"/>
    <mergeCell ref="BQ38:BU38"/>
    <mergeCell ref="BQ37:BU37"/>
    <mergeCell ref="BV38:BZ38"/>
    <mergeCell ref="BF46:BL46"/>
    <mergeCell ref="P51:BO52"/>
    <mergeCell ref="A51:O52"/>
    <mergeCell ref="BV22:BZ23"/>
    <mergeCell ref="BV26:BZ26"/>
    <mergeCell ref="CA47:CJ47"/>
    <mergeCell ref="CK47:CU47"/>
    <mergeCell ref="AW57:BB57"/>
    <mergeCell ref="A47:C47"/>
    <mergeCell ref="A48:D48"/>
    <mergeCell ref="E48:J48"/>
    <mergeCell ref="K48:AM48"/>
    <mergeCell ref="A68:M68"/>
    <mergeCell ref="N68:X68"/>
    <mergeCell ref="A63:M63"/>
    <mergeCell ref="N63:X63"/>
    <mergeCell ref="A64:M64"/>
    <mergeCell ref="N64:X64"/>
    <mergeCell ref="A59:M59"/>
    <mergeCell ref="N59:X59"/>
    <mergeCell ref="A60:M60"/>
    <mergeCell ref="N60:X60"/>
    <mergeCell ref="A61:M61"/>
    <mergeCell ref="N61:X61"/>
    <mergeCell ref="A58:M58"/>
    <mergeCell ref="N58:X58"/>
    <mergeCell ref="A62:M62"/>
    <mergeCell ref="N62:X62"/>
    <mergeCell ref="H56:AT56"/>
    <mergeCell ref="J57:S57"/>
    <mergeCell ref="A69:M69"/>
    <mergeCell ref="N69:X69"/>
    <mergeCell ref="A70:M70"/>
    <mergeCell ref="N70:X70"/>
    <mergeCell ref="A65:M65"/>
    <mergeCell ref="N65:X65"/>
    <mergeCell ref="A66:M66"/>
    <mergeCell ref="N66:X66"/>
    <mergeCell ref="A67:M67"/>
    <mergeCell ref="N67:X67"/>
    <mergeCell ref="A74:M74"/>
    <mergeCell ref="N74:X74"/>
    <mergeCell ref="A75:M75"/>
    <mergeCell ref="N75:X75"/>
    <mergeCell ref="A76:M76"/>
    <mergeCell ref="N76:X76"/>
    <mergeCell ref="A71:M71"/>
    <mergeCell ref="N71:X71"/>
    <mergeCell ref="A72:M72"/>
    <mergeCell ref="N72:X72"/>
    <mergeCell ref="A73:M73"/>
    <mergeCell ref="N73:X73"/>
    <mergeCell ref="N80:X80"/>
    <mergeCell ref="A81:M81"/>
    <mergeCell ref="N81:X81"/>
    <mergeCell ref="A82:M82"/>
    <mergeCell ref="N82:X82"/>
    <mergeCell ref="A77:M77"/>
    <mergeCell ref="N77:X77"/>
    <mergeCell ref="A78:M78"/>
    <mergeCell ref="N78:X78"/>
    <mergeCell ref="A79:M79"/>
    <mergeCell ref="N79:X79"/>
    <mergeCell ref="D8:BA8"/>
    <mergeCell ref="A92:M92"/>
    <mergeCell ref="N92:X92"/>
    <mergeCell ref="A93:M93"/>
    <mergeCell ref="N93:X93"/>
    <mergeCell ref="A89:M89"/>
    <mergeCell ref="N89:X89"/>
    <mergeCell ref="A90:M90"/>
    <mergeCell ref="N90:X90"/>
    <mergeCell ref="A91:M91"/>
    <mergeCell ref="N91:X91"/>
    <mergeCell ref="A86:M86"/>
    <mergeCell ref="N86:X86"/>
    <mergeCell ref="A87:M87"/>
    <mergeCell ref="N87:X87"/>
    <mergeCell ref="A88:M88"/>
    <mergeCell ref="N88:X88"/>
    <mergeCell ref="A83:M83"/>
    <mergeCell ref="N83:X83"/>
    <mergeCell ref="A84:M84"/>
    <mergeCell ref="N84:X84"/>
    <mergeCell ref="A85:M85"/>
    <mergeCell ref="N85:X85"/>
    <mergeCell ref="A80:M80"/>
  </mergeCells>
  <conditionalFormatting sqref="N29 N31">
    <cfRule type="expression" dxfId="4" priority="5" stopIfTrue="1">
      <formula>OR($G29="M",$G29="A")</formula>
    </cfRule>
  </conditionalFormatting>
  <conditionalFormatting sqref="N33">
    <cfRule type="expression" dxfId="3" priority="4" stopIfTrue="1">
      <formula>OR($G33="M",$G33="A")</formula>
    </cfRule>
  </conditionalFormatting>
  <conditionalFormatting sqref="N34:N35">
    <cfRule type="expression" dxfId="2" priority="3" stopIfTrue="1">
      <formula>OR($G34="M",$G34="A")</formula>
    </cfRule>
  </conditionalFormatting>
  <conditionalFormatting sqref="N37">
    <cfRule type="expression" dxfId="1" priority="2" stopIfTrue="1">
      <formula>OR($G37="M",$G37="A")</formula>
    </cfRule>
  </conditionalFormatting>
  <conditionalFormatting sqref="N38">
    <cfRule type="expression" dxfId="0" priority="1" stopIfTrue="1">
      <formula>OR($G38="M",$G38="A")</formula>
    </cfRule>
  </conditionalFormatting>
  <printOptions horizontalCentered="1"/>
  <pageMargins left="0.59055118110236227" right="0.59055118110236227" top="1.1811023622047245" bottom="0.39370078740157483" header="0" footer="0.19685039370078741"/>
  <pageSetup paperSize="9" scale="60" orientation="landscape" horizontalDpi="4294967294" verticalDpi="4294967294" r:id="rId1"/>
  <headerFooter>
    <oddFooter>&amp;R&amp;"Arial,Normal"&amp;8Folha &amp;P de &amp;N&amp;"Calibri,Regular"&amp;11&amp;"Arial,Normal"&amp;6&amp;Z&amp;F</oddFooter>
  </headerFooter>
  <colBreaks count="1" manualBreakCount="1">
    <brk id="99" max="50" man="1"/>
  </colBreaks>
  <drawing r:id="rId2"/>
  <legacyDrawing r:id="rId3"/>
  <oleObjects>
    <oleObject progId="Documento do Microsoft Office Word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2"/>
  <sheetViews>
    <sheetView workbookViewId="0">
      <selection activeCell="A45" sqref="A40:XFD45"/>
    </sheetView>
  </sheetViews>
  <sheetFormatPr defaultRowHeight="15"/>
  <sheetData>
    <row r="1" spans="1:12"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5.75">
      <c r="A2" s="15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5.75">
      <c r="A3" s="15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15.75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7" spans="1:12">
      <c r="A7" s="16">
        <v>1</v>
      </c>
      <c r="B7" s="16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>
      <c r="B8" s="18" t="s">
        <v>10</v>
      </c>
    </row>
    <row r="9" spans="1:12">
      <c r="B9" t="s">
        <v>11</v>
      </c>
    </row>
    <row r="10" spans="1:12">
      <c r="D10" s="19"/>
      <c r="E10" s="19">
        <v>10</v>
      </c>
      <c r="F10" s="19" t="s">
        <v>12</v>
      </c>
      <c r="G10" s="19"/>
    </row>
    <row r="11" spans="1:12">
      <c r="D11" s="19"/>
      <c r="E11" s="19">
        <v>10</v>
      </c>
      <c r="F11" s="19" t="s">
        <v>13</v>
      </c>
      <c r="G11" s="19"/>
    </row>
    <row r="12" spans="1:12">
      <c r="D12" s="20" t="s">
        <v>14</v>
      </c>
      <c r="E12" s="21">
        <f>E10*E11</f>
        <v>100</v>
      </c>
      <c r="F12" s="21" t="s">
        <v>15</v>
      </c>
      <c r="G12" s="19"/>
    </row>
    <row r="15" spans="1:12">
      <c r="B15" s="18" t="s">
        <v>16</v>
      </c>
    </row>
    <row r="16" spans="1:12">
      <c r="B16" t="s">
        <v>17</v>
      </c>
    </row>
    <row r="17" spans="2:9">
      <c r="B17" t="s">
        <v>18</v>
      </c>
      <c r="E17" s="22"/>
      <c r="F17" s="22"/>
    </row>
    <row r="18" spans="2:9">
      <c r="B18" t="s">
        <v>19</v>
      </c>
    </row>
    <row r="20" spans="2:9">
      <c r="B20" s="18" t="s">
        <v>20</v>
      </c>
    </row>
    <row r="21" spans="2:9">
      <c r="B21" t="s">
        <v>21</v>
      </c>
      <c r="H21">
        <v>87.37</v>
      </c>
      <c r="I21" t="s">
        <v>15</v>
      </c>
    </row>
    <row r="23" spans="2:9">
      <c r="B23" s="18" t="s">
        <v>22</v>
      </c>
    </row>
    <row r="24" spans="2:9">
      <c r="B24" t="s">
        <v>23</v>
      </c>
    </row>
    <row r="25" spans="2:9">
      <c r="B25" t="s">
        <v>24</v>
      </c>
    </row>
    <row r="26" spans="2:9">
      <c r="B26" t="s">
        <v>25</v>
      </c>
    </row>
    <row r="28" spans="2:9">
      <c r="B28" s="18" t="s">
        <v>26</v>
      </c>
    </row>
    <row r="29" spans="2:9">
      <c r="B29" t="s">
        <v>27</v>
      </c>
    </row>
    <row r="30" spans="2:9">
      <c r="B30" t="s">
        <v>28</v>
      </c>
      <c r="D30">
        <v>2</v>
      </c>
      <c r="E30" t="s">
        <v>29</v>
      </c>
    </row>
    <row r="31" spans="2:9">
      <c r="D31">
        <v>37</v>
      </c>
      <c r="E31" t="s">
        <v>30</v>
      </c>
    </row>
    <row r="32" spans="2:9">
      <c r="C32" s="23" t="s">
        <v>31</v>
      </c>
      <c r="D32">
        <f>D30*D31</f>
        <v>74</v>
      </c>
      <c r="E32" t="s">
        <v>15</v>
      </c>
    </row>
    <row r="33" spans="1:12">
      <c r="C33" s="23"/>
    </row>
    <row r="34" spans="1:12">
      <c r="B34" s="18" t="s">
        <v>32</v>
      </c>
    </row>
    <row r="35" spans="1:12">
      <c r="B35" t="s">
        <v>33</v>
      </c>
      <c r="J35">
        <f>E12</f>
        <v>100</v>
      </c>
      <c r="K35" t="s">
        <v>15</v>
      </c>
    </row>
    <row r="37" spans="1:12">
      <c r="B37" s="18" t="s">
        <v>34</v>
      </c>
    </row>
    <row r="38" spans="1:12">
      <c r="B38" s="356" t="s">
        <v>35</v>
      </c>
      <c r="C38" s="357"/>
      <c r="D38" s="357"/>
      <c r="E38" s="357"/>
      <c r="F38" s="357"/>
      <c r="G38" s="357"/>
      <c r="H38" s="357"/>
      <c r="I38" s="357"/>
      <c r="J38">
        <f>J35*0.2</f>
        <v>20</v>
      </c>
      <c r="K38" t="s">
        <v>15</v>
      </c>
    </row>
    <row r="39" spans="1:12">
      <c r="B39" s="357"/>
      <c r="C39" s="357"/>
      <c r="D39" s="357"/>
      <c r="E39" s="357"/>
      <c r="F39" s="357"/>
      <c r="G39" s="357"/>
      <c r="H39" s="357"/>
      <c r="I39" s="357"/>
    </row>
    <row r="40" spans="1:12">
      <c r="B40" s="24"/>
      <c r="C40" s="24"/>
      <c r="D40" s="24"/>
      <c r="E40" s="24"/>
      <c r="F40" s="24"/>
      <c r="G40" s="24"/>
      <c r="H40" s="24"/>
      <c r="I40" s="24"/>
    </row>
    <row r="41" spans="1:12">
      <c r="B41" s="18" t="s">
        <v>36</v>
      </c>
      <c r="C41" s="25"/>
      <c r="D41" s="25"/>
      <c r="E41" s="25"/>
      <c r="F41" s="25"/>
      <c r="G41" s="25"/>
      <c r="H41" s="25"/>
      <c r="I41" s="25"/>
    </row>
    <row r="42" spans="1:12">
      <c r="B42" t="s">
        <v>37</v>
      </c>
      <c r="C42" s="25"/>
      <c r="D42" s="25"/>
      <c r="E42" s="25"/>
      <c r="F42" s="25"/>
      <c r="G42" s="25"/>
      <c r="H42" s="25"/>
      <c r="I42" s="25"/>
      <c r="J42" s="26">
        <v>4</v>
      </c>
      <c r="K42" t="s">
        <v>15</v>
      </c>
    </row>
    <row r="43" spans="1:12">
      <c r="B43" s="25"/>
      <c r="C43" s="25"/>
      <c r="D43" s="25"/>
      <c r="E43" s="25"/>
      <c r="F43" s="25"/>
      <c r="G43" s="25"/>
      <c r="H43" s="25"/>
      <c r="I43" s="25"/>
    </row>
    <row r="44" spans="1:12">
      <c r="B44" s="18" t="s">
        <v>38</v>
      </c>
    </row>
    <row r="45" spans="1:12">
      <c r="B45" t="s">
        <v>39</v>
      </c>
      <c r="C45" s="25"/>
      <c r="D45" s="25"/>
      <c r="E45" s="25"/>
      <c r="F45" s="25"/>
      <c r="G45" s="25"/>
      <c r="H45" s="25"/>
      <c r="I45" s="25"/>
      <c r="J45" s="26">
        <f>2*0.8*2.5</f>
        <v>4</v>
      </c>
      <c r="K45" t="s">
        <v>15</v>
      </c>
    </row>
    <row r="46" spans="1:12">
      <c r="B46" s="25"/>
      <c r="C46" s="25"/>
      <c r="D46" s="25"/>
      <c r="E46" s="25"/>
      <c r="F46" s="25"/>
      <c r="G46" s="25"/>
      <c r="H46" s="25"/>
      <c r="I46" s="25"/>
    </row>
    <row r="47" spans="1:12">
      <c r="A47" s="16">
        <v>2</v>
      </c>
      <c r="B47" s="16" t="s">
        <v>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9" spans="2:11">
      <c r="B49" s="18" t="s">
        <v>40</v>
      </c>
    </row>
    <row r="50" spans="2:11">
      <c r="B50" t="s">
        <v>41</v>
      </c>
    </row>
    <row r="51" spans="2:11">
      <c r="B51" t="s">
        <v>42</v>
      </c>
    </row>
    <row r="52" spans="2:11">
      <c r="C52" t="s">
        <v>43</v>
      </c>
      <c r="D52">
        <v>0.25</v>
      </c>
      <c r="E52" t="s">
        <v>12</v>
      </c>
      <c r="H52" s="7" t="s">
        <v>44</v>
      </c>
      <c r="I52" s="27"/>
      <c r="J52" s="28">
        <v>16</v>
      </c>
      <c r="K52" s="6" t="s">
        <v>45</v>
      </c>
    </row>
    <row r="53" spans="2:11">
      <c r="D53">
        <v>0.3</v>
      </c>
      <c r="E53" t="s">
        <v>29</v>
      </c>
      <c r="H53" s="2" t="s">
        <v>46</v>
      </c>
      <c r="I53" s="3">
        <v>0.5</v>
      </c>
      <c r="J53" s="3">
        <v>0.5</v>
      </c>
      <c r="K53" s="4"/>
    </row>
    <row r="54" spans="2:11">
      <c r="D54">
        <v>70</v>
      </c>
      <c r="E54" t="s">
        <v>30</v>
      </c>
      <c r="H54" s="9" t="s">
        <v>47</v>
      </c>
      <c r="I54" s="29">
        <v>0.45</v>
      </c>
      <c r="J54" s="11"/>
      <c r="K54" s="10"/>
    </row>
    <row r="55" spans="2:11">
      <c r="C55" s="20" t="s">
        <v>4</v>
      </c>
      <c r="D55" s="30">
        <f>ROUND((D52*D53*D54)+J55,0)</f>
        <v>7</v>
      </c>
      <c r="E55" s="31" t="s">
        <v>48</v>
      </c>
      <c r="H55" s="1" t="s">
        <v>49</v>
      </c>
      <c r="J55" s="26">
        <f>J52*I53*J53*I54</f>
        <v>1.8</v>
      </c>
      <c r="K55" t="s">
        <v>48</v>
      </c>
    </row>
    <row r="56" spans="2:11">
      <c r="C56" s="32"/>
      <c r="D56" s="33"/>
      <c r="E56" s="34"/>
      <c r="H56" s="1"/>
      <c r="J56" s="26"/>
    </row>
    <row r="57" spans="2:11">
      <c r="B57" s="18" t="s">
        <v>50</v>
      </c>
      <c r="C57" s="32"/>
      <c r="D57" s="33"/>
      <c r="E57" s="34"/>
      <c r="H57" s="1"/>
      <c r="J57" s="26"/>
    </row>
    <row r="58" spans="2:11">
      <c r="B58" t="s">
        <v>51</v>
      </c>
      <c r="C58" s="32"/>
      <c r="D58" s="33"/>
      <c r="E58" s="34"/>
      <c r="H58" s="1"/>
      <c r="J58" s="26"/>
    </row>
    <row r="59" spans="2:11">
      <c r="C59" s="23" t="s">
        <v>52</v>
      </c>
      <c r="D59">
        <f>H21</f>
        <v>87.37</v>
      </c>
      <c r="E59" t="s">
        <v>53</v>
      </c>
      <c r="H59" s="1"/>
      <c r="J59" s="26"/>
    </row>
    <row r="60" spans="2:11">
      <c r="D60">
        <v>0.2</v>
      </c>
      <c r="E60" t="s">
        <v>29</v>
      </c>
      <c r="H60" s="1"/>
      <c r="J60" s="26"/>
    </row>
    <row r="61" spans="2:11">
      <c r="C61" s="20" t="s">
        <v>4</v>
      </c>
      <c r="D61" s="30">
        <f>ROUND((D59*D60),0)</f>
        <v>17</v>
      </c>
      <c r="E61" s="31" t="s">
        <v>48</v>
      </c>
      <c r="H61" s="1"/>
      <c r="J61" s="26"/>
    </row>
    <row r="62" spans="2:11">
      <c r="C62" s="32"/>
      <c r="D62" s="33"/>
      <c r="E62" s="34"/>
      <c r="H62" s="1"/>
      <c r="J62" s="26"/>
    </row>
    <row r="63" spans="2:11">
      <c r="B63" s="18" t="s">
        <v>54</v>
      </c>
      <c r="C63" s="32"/>
      <c r="D63" s="33"/>
      <c r="E63" s="34"/>
      <c r="H63" s="1"/>
      <c r="J63" s="26"/>
    </row>
    <row r="64" spans="2:11">
      <c r="B64" t="s">
        <v>55</v>
      </c>
      <c r="C64" s="32"/>
      <c r="D64" s="33"/>
      <c r="E64" s="34"/>
      <c r="H64" s="1"/>
      <c r="J64" s="26"/>
    </row>
    <row r="65" spans="1:12">
      <c r="C65" s="23" t="s">
        <v>52</v>
      </c>
      <c r="D65">
        <f>D59</f>
        <v>87.37</v>
      </c>
      <c r="E65" t="s">
        <v>53</v>
      </c>
      <c r="H65" s="1"/>
      <c r="J65" s="26"/>
    </row>
    <row r="66" spans="1:12">
      <c r="D66">
        <v>0.1</v>
      </c>
      <c r="E66" t="s">
        <v>29</v>
      </c>
      <c r="H66" s="1"/>
      <c r="J66" s="26"/>
    </row>
    <row r="67" spans="1:12">
      <c r="C67" s="20" t="s">
        <v>4</v>
      </c>
      <c r="D67" s="30">
        <f>ROUND((D65*D66),0)</f>
        <v>9</v>
      </c>
      <c r="E67" s="31" t="s">
        <v>48</v>
      </c>
      <c r="H67" s="1"/>
      <c r="J67" s="26"/>
    </row>
    <row r="69" spans="1:12">
      <c r="A69" s="16">
        <v>3</v>
      </c>
      <c r="B69" s="16" t="s">
        <v>56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>
      <c r="B70" s="18" t="s">
        <v>57</v>
      </c>
    </row>
    <row r="71" spans="1:12">
      <c r="B71" t="s">
        <v>58</v>
      </c>
    </row>
    <row r="72" spans="1:12">
      <c r="B72" t="s">
        <v>59</v>
      </c>
    </row>
    <row r="73" spans="1:12">
      <c r="C73" s="3"/>
      <c r="D73" s="32" t="s">
        <v>60</v>
      </c>
      <c r="E73" s="35" t="s">
        <v>61</v>
      </c>
      <c r="F73" s="3"/>
      <c r="G73" s="3"/>
      <c r="H73" s="32"/>
      <c r="I73" s="34"/>
      <c r="J73" s="3"/>
    </row>
    <row r="74" spans="1:12">
      <c r="C74" s="3"/>
      <c r="D74" s="3">
        <v>16</v>
      </c>
      <c r="E74" s="35"/>
      <c r="F74" s="3"/>
      <c r="G74" s="3"/>
      <c r="H74" s="3"/>
      <c r="I74" s="3"/>
      <c r="J74" s="3"/>
    </row>
    <row r="75" spans="1:12">
      <c r="C75" s="3"/>
      <c r="D75" s="3">
        <v>4</v>
      </c>
      <c r="E75" s="35" t="s">
        <v>62</v>
      </c>
      <c r="F75" s="3"/>
      <c r="G75" s="3"/>
      <c r="H75" s="3"/>
      <c r="I75" s="3"/>
      <c r="J75" s="3"/>
    </row>
    <row r="76" spans="1:12">
      <c r="C76" s="3"/>
      <c r="D76" s="12">
        <f>SUM(D74:D75)</f>
        <v>20</v>
      </c>
      <c r="E76" s="35" t="s">
        <v>4</v>
      </c>
      <c r="F76" s="3"/>
      <c r="G76" s="3"/>
      <c r="H76" s="36"/>
      <c r="I76" s="3"/>
      <c r="J76" s="3"/>
    </row>
    <row r="77" spans="1:12">
      <c r="D77">
        <v>4</v>
      </c>
      <c r="E77" t="s">
        <v>63</v>
      </c>
      <c r="G77" s="1"/>
      <c r="I77" s="26"/>
    </row>
    <row r="78" spans="1:12">
      <c r="D78">
        <f>D76*D77</f>
        <v>80</v>
      </c>
      <c r="E78" t="s">
        <v>64</v>
      </c>
    </row>
    <row r="79" spans="1:12">
      <c r="E79" t="s">
        <v>65</v>
      </c>
    </row>
    <row r="80" spans="1:12">
      <c r="D80">
        <f>D78*1.1</f>
        <v>88</v>
      </c>
      <c r="E80" t="s">
        <v>66</v>
      </c>
    </row>
    <row r="81" spans="2:9">
      <c r="D81" s="37">
        <f>ROUND(D80,0)</f>
        <v>88</v>
      </c>
      <c r="E81" s="38" t="s">
        <v>67</v>
      </c>
    </row>
    <row r="83" spans="2:9">
      <c r="B83" s="18" t="s">
        <v>68</v>
      </c>
    </row>
    <row r="84" spans="2:9">
      <c r="B84" t="s">
        <v>69</v>
      </c>
    </row>
    <row r="86" spans="2:9">
      <c r="D86">
        <f>D54</f>
        <v>70</v>
      </c>
      <c r="E86" t="s">
        <v>70</v>
      </c>
      <c r="H86">
        <f>J52</f>
        <v>16</v>
      </c>
      <c r="I86" t="s">
        <v>71</v>
      </c>
    </row>
    <row r="87" spans="2:9">
      <c r="D87">
        <v>0.05</v>
      </c>
      <c r="E87" t="s">
        <v>72</v>
      </c>
      <c r="H87">
        <v>0.5</v>
      </c>
      <c r="I87" t="s">
        <v>73</v>
      </c>
    </row>
    <row r="88" spans="2:9">
      <c r="D88">
        <f>D52</f>
        <v>0.25</v>
      </c>
      <c r="E88" t="s">
        <v>74</v>
      </c>
      <c r="H88">
        <v>0.5</v>
      </c>
      <c r="I88" t="s">
        <v>75</v>
      </c>
    </row>
    <row r="89" spans="2:9">
      <c r="D89" s="39">
        <f>ROUND((D86*D87*D88)+H86*H87*H88*D87,0)</f>
        <v>1</v>
      </c>
      <c r="E89" t="s">
        <v>76</v>
      </c>
    </row>
    <row r="91" spans="2:9">
      <c r="B91" s="18" t="s">
        <v>77</v>
      </c>
    </row>
    <row r="93" spans="2:9">
      <c r="B93" t="s">
        <v>78</v>
      </c>
    </row>
    <row r="94" spans="2:9">
      <c r="B94" t="s">
        <v>79</v>
      </c>
    </row>
    <row r="96" spans="2:9">
      <c r="D96">
        <f>D54</f>
        <v>70</v>
      </c>
      <c r="E96" t="s">
        <v>70</v>
      </c>
    </row>
    <row r="97" spans="2:5">
      <c r="D97">
        <v>0.3</v>
      </c>
      <c r="E97" t="s">
        <v>80</v>
      </c>
    </row>
    <row r="98" spans="2:5">
      <c r="D98">
        <f>D96*2*D97</f>
        <v>42</v>
      </c>
      <c r="E98" t="s">
        <v>81</v>
      </c>
    </row>
    <row r="99" spans="2:5">
      <c r="D99" s="37">
        <f>ROUND(D98,0)</f>
        <v>42</v>
      </c>
      <c r="E99" s="38" t="s">
        <v>67</v>
      </c>
    </row>
    <row r="101" spans="2:5">
      <c r="B101" t="s">
        <v>82</v>
      </c>
    </row>
    <row r="102" spans="2:5">
      <c r="B102" t="s">
        <v>83</v>
      </c>
    </row>
    <row r="103" spans="2:5">
      <c r="D103">
        <f>D76</f>
        <v>20</v>
      </c>
      <c r="E103" t="s">
        <v>84</v>
      </c>
    </row>
    <row r="104" spans="2:5">
      <c r="D104">
        <v>0.25</v>
      </c>
      <c r="E104" t="s">
        <v>85</v>
      </c>
    </row>
    <row r="105" spans="2:5">
      <c r="D105">
        <v>3.5</v>
      </c>
      <c r="E105" t="s">
        <v>86</v>
      </c>
    </row>
    <row r="106" spans="2:5">
      <c r="D106">
        <f>D103*2*D104*D105</f>
        <v>35</v>
      </c>
      <c r="E106" t="s">
        <v>81</v>
      </c>
    </row>
    <row r="107" spans="2:5">
      <c r="D107">
        <f>D106*1.05</f>
        <v>36.75</v>
      </c>
      <c r="E107" t="s">
        <v>87</v>
      </c>
    </row>
    <row r="108" spans="2:5">
      <c r="D108" s="37">
        <f>ROUND(D107,0)</f>
        <v>37</v>
      </c>
      <c r="E108" s="38" t="s">
        <v>88</v>
      </c>
    </row>
    <row r="109" spans="2:5">
      <c r="D109">
        <f>D54</f>
        <v>70</v>
      </c>
      <c r="E109" t="s">
        <v>89</v>
      </c>
    </row>
    <row r="110" spans="2:5">
      <c r="D110">
        <v>0.3</v>
      </c>
      <c r="E110" t="s">
        <v>85</v>
      </c>
    </row>
    <row r="111" spans="2:5">
      <c r="D111">
        <f>D109*2*D110</f>
        <v>42</v>
      </c>
      <c r="E111" t="s">
        <v>81</v>
      </c>
    </row>
    <row r="112" spans="2:5">
      <c r="D112">
        <f>D111*1.05</f>
        <v>44.1</v>
      </c>
      <c r="E112" t="s">
        <v>87</v>
      </c>
    </row>
    <row r="113" spans="2:5">
      <c r="D113" s="37">
        <f>ROUND(D112,0)</f>
        <v>44</v>
      </c>
      <c r="E113" s="38" t="s">
        <v>88</v>
      </c>
    </row>
    <row r="114" spans="2:5">
      <c r="D114" s="37"/>
      <c r="E114" s="38"/>
    </row>
    <row r="115" spans="2:5">
      <c r="B115" t="s">
        <v>90</v>
      </c>
      <c r="D115" s="37"/>
      <c r="E115" s="38"/>
    </row>
    <row r="116" spans="2:5">
      <c r="D116" s="37">
        <f>H21</f>
        <v>87.37</v>
      </c>
      <c r="E116" s="38" t="s">
        <v>91</v>
      </c>
    </row>
    <row r="117" spans="2:5">
      <c r="D117" s="37">
        <f>SUM(D116:D116)</f>
        <v>87.37</v>
      </c>
      <c r="E117" s="38" t="s">
        <v>4</v>
      </c>
    </row>
    <row r="118" spans="2:5">
      <c r="D118" s="37">
        <f>ROUND(D117,0)</f>
        <v>87</v>
      </c>
      <c r="E118" s="38" t="s">
        <v>88</v>
      </c>
    </row>
    <row r="119" spans="2:5">
      <c r="D119" s="37">
        <v>3</v>
      </c>
      <c r="E119" s="38" t="s">
        <v>92</v>
      </c>
    </row>
    <row r="120" spans="2:5">
      <c r="D120">
        <f>D118*D119</f>
        <v>261</v>
      </c>
      <c r="E120" s="38" t="s">
        <v>93</v>
      </c>
    </row>
    <row r="122" spans="2:5">
      <c r="B122" s="18" t="s">
        <v>94</v>
      </c>
    </row>
    <row r="123" spans="2:5">
      <c r="B123" t="s">
        <v>95</v>
      </c>
    </row>
    <row r="124" spans="2:5">
      <c r="B124" t="s">
        <v>96</v>
      </c>
    </row>
    <row r="125" spans="2:5">
      <c r="B125" t="s">
        <v>97</v>
      </c>
    </row>
    <row r="126" spans="2:5">
      <c r="D126">
        <f>D54</f>
        <v>70</v>
      </c>
      <c r="E126" s="38" t="s">
        <v>70</v>
      </c>
    </row>
    <row r="127" spans="2:5">
      <c r="D127">
        <f>ROUNDUP(D126*6/12,0)</f>
        <v>35</v>
      </c>
      <c r="E127" s="38" t="s">
        <v>98</v>
      </c>
    </row>
    <row r="128" spans="2:5">
      <c r="D128">
        <f>ROUNDUP(D126/0.15,0)</f>
        <v>467</v>
      </c>
      <c r="E128" s="38" t="s">
        <v>99</v>
      </c>
    </row>
    <row r="129" spans="2:5">
      <c r="D129">
        <f>D103</f>
        <v>20</v>
      </c>
      <c r="E129" s="38" t="s">
        <v>84</v>
      </c>
    </row>
    <row r="130" spans="2:5">
      <c r="D130">
        <f>ROUNDUP(D129*3*2/12,0)</f>
        <v>10</v>
      </c>
      <c r="E130" s="38" t="s">
        <v>98</v>
      </c>
    </row>
    <row r="131" spans="2:5">
      <c r="D131">
        <f>(D127+D130)*7.4 + D128*10/100</f>
        <v>379.7</v>
      </c>
      <c r="E131" s="38" t="s">
        <v>100</v>
      </c>
    </row>
    <row r="132" spans="2:5">
      <c r="D132" s="37">
        <f>ROUND(D131,0)</f>
        <v>380</v>
      </c>
      <c r="E132" s="38" t="s">
        <v>67</v>
      </c>
    </row>
    <row r="134" spans="2:5">
      <c r="B134" t="s">
        <v>101</v>
      </c>
    </row>
    <row r="135" spans="2:5">
      <c r="B135" t="s">
        <v>102</v>
      </c>
    </row>
    <row r="136" spans="2:5">
      <c r="D136">
        <f>D103</f>
        <v>20</v>
      </c>
      <c r="E136" s="38" t="s">
        <v>84</v>
      </c>
    </row>
    <row r="137" spans="2:5">
      <c r="D137">
        <v>3</v>
      </c>
      <c r="E137" s="38" t="s">
        <v>86</v>
      </c>
    </row>
    <row r="138" spans="2:5">
      <c r="D138">
        <f>ROUNDUP(D136*4*D137/12,0)</f>
        <v>20</v>
      </c>
      <c r="E138" s="38" t="s">
        <v>103</v>
      </c>
    </row>
    <row r="139" spans="2:5">
      <c r="D139">
        <f>ROUNDUP(D136*D137/0.17,0)</f>
        <v>353</v>
      </c>
      <c r="E139" s="38" t="s">
        <v>104</v>
      </c>
    </row>
    <row r="140" spans="2:5">
      <c r="D140">
        <f>(D138)*4.7 + D139*6.3/100</f>
        <v>116.239</v>
      </c>
      <c r="E140" s="38" t="s">
        <v>100</v>
      </c>
    </row>
    <row r="141" spans="2:5">
      <c r="D141" s="37">
        <f>ROUND(D140,0)</f>
        <v>116</v>
      </c>
      <c r="E141" s="38" t="s">
        <v>67</v>
      </c>
    </row>
    <row r="142" spans="2:5">
      <c r="D142" s="37"/>
      <c r="E142" s="38"/>
    </row>
    <row r="143" spans="2:5">
      <c r="B143" t="s">
        <v>105</v>
      </c>
      <c r="D143" s="37"/>
      <c r="E143" s="38"/>
    </row>
    <row r="144" spans="2:5">
      <c r="B144" t="s">
        <v>106</v>
      </c>
      <c r="D144" s="37"/>
      <c r="E144" s="38"/>
    </row>
    <row r="145" spans="2:6">
      <c r="D145">
        <f>D126</f>
        <v>70</v>
      </c>
      <c r="E145" s="38" t="s">
        <v>70</v>
      </c>
    </row>
    <row r="146" spans="2:6">
      <c r="D146">
        <v>13.8</v>
      </c>
      <c r="E146" s="38" t="s">
        <v>107</v>
      </c>
    </row>
    <row r="147" spans="2:6">
      <c r="D147">
        <f>ROUNDUP((D145+D146)*6/12,0)</f>
        <v>42</v>
      </c>
      <c r="E147" s="38" t="s">
        <v>98</v>
      </c>
    </row>
    <row r="148" spans="2:6">
      <c r="D148">
        <f>ROUNDUP((D145+D146)/0.15,0)</f>
        <v>559</v>
      </c>
      <c r="E148" s="38" t="s">
        <v>99</v>
      </c>
    </row>
    <row r="149" spans="2:6">
      <c r="D149">
        <f>(D147)*7.4 + D148*10/100</f>
        <v>366.7</v>
      </c>
      <c r="E149" s="38" t="s">
        <v>100</v>
      </c>
    </row>
    <row r="150" spans="2:6">
      <c r="D150" s="37">
        <f>ROUND(D149,0)</f>
        <v>367</v>
      </c>
      <c r="E150" s="38" t="s">
        <v>67</v>
      </c>
    </row>
    <row r="151" spans="2:6">
      <c r="D151" s="37"/>
      <c r="E151" s="38"/>
    </row>
    <row r="152" spans="2:6">
      <c r="B152" s="18" t="s">
        <v>108</v>
      </c>
    </row>
    <row r="153" spans="2:6">
      <c r="B153" s="19" t="s">
        <v>109</v>
      </c>
      <c r="C153" s="19"/>
      <c r="D153" s="19"/>
      <c r="E153" s="19"/>
      <c r="F153" s="19"/>
    </row>
    <row r="154" spans="2:6">
      <c r="B154" s="19"/>
      <c r="C154" s="40" t="s">
        <v>110</v>
      </c>
      <c r="D154" s="19">
        <v>53.6</v>
      </c>
      <c r="E154" s="41" t="s">
        <v>111</v>
      </c>
      <c r="F154" s="19"/>
    </row>
    <row r="155" spans="2:6">
      <c r="B155" s="19"/>
      <c r="C155" s="40" t="s">
        <v>112</v>
      </c>
      <c r="D155" s="19">
        <f>D116-D154</f>
        <v>33.770000000000003</v>
      </c>
      <c r="E155" s="41" t="s">
        <v>111</v>
      </c>
      <c r="F155" s="19"/>
    </row>
    <row r="156" spans="2:6">
      <c r="B156" s="19"/>
      <c r="C156" s="40"/>
      <c r="D156" s="19"/>
      <c r="E156" s="41"/>
      <c r="F156" s="19"/>
    </row>
    <row r="157" spans="2:6">
      <c r="B157" s="18" t="s">
        <v>113</v>
      </c>
    </row>
    <row r="158" spans="2:6">
      <c r="B158" t="s">
        <v>114</v>
      </c>
    </row>
    <row r="159" spans="2:6">
      <c r="D159" s="26">
        <f>D126*0.2*0.3</f>
        <v>4.2</v>
      </c>
      <c r="E159" s="41" t="s">
        <v>115</v>
      </c>
    </row>
    <row r="160" spans="2:6">
      <c r="D160" s="26">
        <f>D136*D137*(0.09*0.22)</f>
        <v>1.1879999999999999</v>
      </c>
      <c r="E160" s="41" t="s">
        <v>116</v>
      </c>
    </row>
    <row r="161" spans="1:12">
      <c r="D161">
        <f>(D145+D146)*0.2*0.3</f>
        <v>5.0280000000000005</v>
      </c>
      <c r="E161" s="41" t="s">
        <v>117</v>
      </c>
    </row>
    <row r="162" spans="1:12">
      <c r="D162" s="26">
        <f>(D154+D155)*0.05</f>
        <v>4.3685</v>
      </c>
      <c r="E162" s="41" t="s">
        <v>118</v>
      </c>
    </row>
    <row r="163" spans="1:12">
      <c r="D163" s="42">
        <f>ROUND(D159+D160+D161+D162,0)</f>
        <v>15</v>
      </c>
      <c r="E163" t="s">
        <v>119</v>
      </c>
    </row>
    <row r="164" spans="1:12">
      <c r="D164" s="37">
        <f>ROUND(D163,0)</f>
        <v>15</v>
      </c>
      <c r="E164" s="38" t="s">
        <v>67</v>
      </c>
    </row>
    <row r="166" spans="1:12">
      <c r="A166" s="16">
        <v>4</v>
      </c>
      <c r="B166" s="16" t="s">
        <v>120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8" spans="1:12">
      <c r="B168" s="18" t="s">
        <v>121</v>
      </c>
    </row>
    <row r="169" spans="1:12">
      <c r="B169" t="s">
        <v>122</v>
      </c>
    </row>
    <row r="170" spans="1:12">
      <c r="D170">
        <f>D54</f>
        <v>70</v>
      </c>
      <c r="E170" s="41" t="s">
        <v>70</v>
      </c>
    </row>
    <row r="171" spans="1:12">
      <c r="D171">
        <f>D170*(0.3+0.2+0.3)</f>
        <v>56</v>
      </c>
      <c r="E171" s="41" t="s">
        <v>15</v>
      </c>
    </row>
    <row r="172" spans="1:12">
      <c r="D172" s="37">
        <f>ROUND(D171,0)</f>
        <v>56</v>
      </c>
      <c r="E172" s="38" t="s">
        <v>123</v>
      </c>
    </row>
    <row r="173" spans="1:12">
      <c r="D173" s="37"/>
      <c r="E173" s="38"/>
    </row>
    <row r="174" spans="1:12">
      <c r="B174" s="18" t="s">
        <v>124</v>
      </c>
      <c r="D174" s="37"/>
      <c r="E174" s="38"/>
    </row>
    <row r="175" spans="1:12">
      <c r="D175" s="37">
        <v>58</v>
      </c>
      <c r="E175" s="41" t="s">
        <v>125</v>
      </c>
    </row>
    <row r="176" spans="1:12">
      <c r="D176" s="37">
        <v>0.15</v>
      </c>
      <c r="E176" s="41" t="s">
        <v>126</v>
      </c>
    </row>
    <row r="177" spans="1:12">
      <c r="D177" s="37">
        <v>2.5000000000000001E-2</v>
      </c>
      <c r="E177" s="41" t="s">
        <v>127</v>
      </c>
    </row>
    <row r="178" spans="1:12">
      <c r="D178" s="43">
        <f>D175*D176*D177*3</f>
        <v>0.65249999999999997</v>
      </c>
      <c r="E178" s="41" t="s">
        <v>128</v>
      </c>
    </row>
    <row r="179" spans="1:12">
      <c r="D179" s="43">
        <f>ROUND(D178,2)</f>
        <v>0.65</v>
      </c>
      <c r="E179" s="38" t="s">
        <v>67</v>
      </c>
    </row>
    <row r="180" spans="1:12">
      <c r="D180" s="37"/>
      <c r="E180" s="38"/>
    </row>
    <row r="181" spans="1:12">
      <c r="A181" s="16">
        <v>5</v>
      </c>
      <c r="B181" s="16" t="s">
        <v>129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3" spans="1:12">
      <c r="B183" s="18" t="s">
        <v>130</v>
      </c>
    </row>
    <row r="185" spans="1:12">
      <c r="B185" t="s">
        <v>131</v>
      </c>
    </row>
    <row r="187" spans="1:12">
      <c r="D187">
        <f>D175</f>
        <v>58</v>
      </c>
      <c r="E187" s="41" t="s">
        <v>132</v>
      </c>
    </row>
    <row r="188" spans="1:12">
      <c r="D188">
        <v>3</v>
      </c>
      <c r="E188" s="41" t="s">
        <v>133</v>
      </c>
    </row>
    <row r="189" spans="1:12">
      <c r="D189">
        <f>2.6+3.25</f>
        <v>5.85</v>
      </c>
      <c r="E189" s="41" t="s">
        <v>134</v>
      </c>
    </row>
    <row r="190" spans="1:12">
      <c r="D190">
        <v>3.2</v>
      </c>
      <c r="E190" s="41" t="s">
        <v>133</v>
      </c>
    </row>
    <row r="191" spans="1:12">
      <c r="D191">
        <v>3.25</v>
      </c>
      <c r="E191" s="41" t="s">
        <v>135</v>
      </c>
    </row>
    <row r="192" spans="1:12">
      <c r="D192">
        <v>2</v>
      </c>
      <c r="E192" s="41" t="s">
        <v>135</v>
      </c>
    </row>
    <row r="193" spans="1:12">
      <c r="D193">
        <v>5.0999999999999996</v>
      </c>
      <c r="E193" s="41" t="s">
        <v>136</v>
      </c>
    </row>
    <row r="194" spans="1:12">
      <c r="D194">
        <v>1.3</v>
      </c>
      <c r="E194" s="41" t="s">
        <v>137</v>
      </c>
    </row>
    <row r="195" spans="1:12">
      <c r="D195">
        <v>13.8</v>
      </c>
      <c r="E195" s="41" t="s">
        <v>138</v>
      </c>
    </row>
    <row r="196" spans="1:12">
      <c r="D196">
        <v>3</v>
      </c>
      <c r="E196" s="41" t="s">
        <v>133</v>
      </c>
    </row>
    <row r="197" spans="1:12">
      <c r="D197" s="37">
        <f>D187*D188+D191*D192+D193*D194+D195*D196</f>
        <v>228.53</v>
      </c>
      <c r="E197" t="s">
        <v>139</v>
      </c>
    </row>
    <row r="198" spans="1:12">
      <c r="D198" s="37">
        <f>ROUND(D197,0)</f>
        <v>229</v>
      </c>
      <c r="E198" s="38" t="s">
        <v>67</v>
      </c>
    </row>
    <row r="199" spans="1:12">
      <c r="D199" s="37"/>
      <c r="E199" s="38"/>
    </row>
    <row r="200" spans="1:12">
      <c r="A200" s="16">
        <v>6</v>
      </c>
      <c r="B200" s="16" t="s">
        <v>140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2" spans="1:12">
      <c r="B202" s="18" t="s">
        <v>141</v>
      </c>
    </row>
    <row r="203" spans="1:12">
      <c r="B203" t="s">
        <v>142</v>
      </c>
    </row>
    <row r="204" spans="1:12">
      <c r="D204">
        <v>2</v>
      </c>
      <c r="E204" s="41" t="s">
        <v>143</v>
      </c>
    </row>
    <row r="205" spans="1:12">
      <c r="D205">
        <v>1</v>
      </c>
      <c r="E205" s="41" t="s">
        <v>144</v>
      </c>
    </row>
    <row r="206" spans="1:12">
      <c r="D206">
        <v>3</v>
      </c>
      <c r="E206" s="41" t="s">
        <v>145</v>
      </c>
    </row>
    <row r="207" spans="1:12">
      <c r="D207">
        <f>SUM(D204:D206)</f>
        <v>6</v>
      </c>
      <c r="E207" t="s">
        <v>4</v>
      </c>
    </row>
    <row r="209" spans="2:8">
      <c r="B209" s="18" t="s">
        <v>146</v>
      </c>
    </row>
    <row r="210" spans="2:8">
      <c r="B210" t="s">
        <v>147</v>
      </c>
    </row>
    <row r="211" spans="2:8">
      <c r="C211" s="19" t="s">
        <v>148</v>
      </c>
      <c r="D211" s="19" t="s">
        <v>149</v>
      </c>
      <c r="E211" s="19" t="s">
        <v>150</v>
      </c>
      <c r="F211" s="19" t="s">
        <v>151</v>
      </c>
      <c r="G211" s="44" t="s">
        <v>31</v>
      </c>
    </row>
    <row r="212" spans="2:8">
      <c r="C212" s="19" t="s">
        <v>152</v>
      </c>
      <c r="D212" s="44">
        <v>1</v>
      </c>
      <c r="E212" s="45">
        <v>0.8</v>
      </c>
      <c r="F212" s="45">
        <v>0.8</v>
      </c>
      <c r="G212" s="45">
        <f>D212*E212*F212</f>
        <v>0.64000000000000012</v>
      </c>
    </row>
    <row r="213" spans="2:8">
      <c r="C213" s="19" t="s">
        <v>153</v>
      </c>
      <c r="D213" s="44">
        <v>1</v>
      </c>
      <c r="E213" s="45">
        <v>0.3</v>
      </c>
      <c r="F213" s="45">
        <v>0.7</v>
      </c>
      <c r="G213" s="45">
        <f>D213*E213*F213</f>
        <v>0.21</v>
      </c>
    </row>
    <row r="214" spans="2:8">
      <c r="C214" s="19" t="s">
        <v>154</v>
      </c>
      <c r="D214" s="44">
        <v>3</v>
      </c>
      <c r="E214" s="45">
        <v>1</v>
      </c>
      <c r="F214" s="45">
        <v>0.5</v>
      </c>
      <c r="G214" s="45">
        <f>D214*E214*F214</f>
        <v>1.5</v>
      </c>
    </row>
    <row r="215" spans="2:8">
      <c r="C215" s="19" t="s">
        <v>155</v>
      </c>
      <c r="D215" s="44">
        <v>4</v>
      </c>
      <c r="E215" s="45">
        <v>0.5</v>
      </c>
      <c r="F215" s="45">
        <v>0.5</v>
      </c>
      <c r="G215" s="45">
        <f>D215*E215*F215</f>
        <v>1</v>
      </c>
    </row>
    <row r="216" spans="2:8">
      <c r="C216" s="19"/>
      <c r="D216" s="19"/>
      <c r="E216" s="19"/>
      <c r="F216" s="19" t="s">
        <v>156</v>
      </c>
      <c r="G216" s="46">
        <f>SUM(G212:G215)</f>
        <v>3.35</v>
      </c>
    </row>
    <row r="217" spans="2:8">
      <c r="C217" s="19"/>
      <c r="D217" s="19"/>
      <c r="E217" s="19"/>
      <c r="F217" s="19"/>
      <c r="G217" s="46">
        <f>ROUND(G216,1)</f>
        <v>3.4</v>
      </c>
      <c r="H217" s="38" t="s">
        <v>67</v>
      </c>
    </row>
    <row r="218" spans="2:8">
      <c r="B218" s="18" t="s">
        <v>157</v>
      </c>
    </row>
    <row r="219" spans="2:8">
      <c r="B219" t="s">
        <v>158</v>
      </c>
    </row>
    <row r="220" spans="2:8">
      <c r="C220" t="s">
        <v>156</v>
      </c>
      <c r="D220" s="47">
        <f>G217</f>
        <v>3.4</v>
      </c>
      <c r="E220" t="s">
        <v>15</v>
      </c>
    </row>
    <row r="221" spans="2:8">
      <c r="D221" s="47"/>
    </row>
    <row r="222" spans="2:8">
      <c r="B222" t="s">
        <v>159</v>
      </c>
      <c r="D222" s="47"/>
    </row>
    <row r="223" spans="2:8">
      <c r="C223" s="19" t="s">
        <v>148</v>
      </c>
      <c r="D223" s="19" t="s">
        <v>149</v>
      </c>
      <c r="E223" s="19" t="s">
        <v>150</v>
      </c>
      <c r="F223" s="19" t="s">
        <v>151</v>
      </c>
      <c r="G223" s="44" t="s">
        <v>31</v>
      </c>
    </row>
    <row r="224" spans="2:8">
      <c r="C224" s="19" t="s">
        <v>160</v>
      </c>
      <c r="D224" s="44">
        <v>1</v>
      </c>
      <c r="E224" s="45">
        <v>2.1</v>
      </c>
      <c r="F224" s="45">
        <v>2.1</v>
      </c>
      <c r="G224" s="45">
        <f>D224*E224*F224</f>
        <v>4.41</v>
      </c>
    </row>
    <row r="225" spans="1:12">
      <c r="G225" s="47"/>
    </row>
    <row r="226" spans="1:12">
      <c r="A226" s="16">
        <v>7</v>
      </c>
      <c r="B226" s="16" t="s">
        <v>2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8" spans="1:12">
      <c r="B228" s="18" t="s">
        <v>161</v>
      </c>
    </row>
    <row r="229" spans="1:12">
      <c r="B229" t="s">
        <v>162</v>
      </c>
    </row>
    <row r="230" spans="1:12">
      <c r="D230">
        <f>D116</f>
        <v>87.37</v>
      </c>
      <c r="E230" s="41" t="s">
        <v>111</v>
      </c>
    </row>
    <row r="232" spans="1:12">
      <c r="B232" s="18" t="s">
        <v>163</v>
      </c>
    </row>
    <row r="233" spans="1:12">
      <c r="B233" t="s">
        <v>162</v>
      </c>
    </row>
    <row r="234" spans="1:12">
      <c r="D234">
        <f>D230</f>
        <v>87.37</v>
      </c>
      <c r="E234" t="s">
        <v>111</v>
      </c>
    </row>
    <row r="236" spans="1:12">
      <c r="B236" s="18" t="s">
        <v>164</v>
      </c>
    </row>
    <row r="237" spans="1:12">
      <c r="E237">
        <v>8</v>
      </c>
      <c r="F237" t="s">
        <v>165</v>
      </c>
    </row>
    <row r="238" spans="1:12">
      <c r="E238" s="37">
        <f>SUM(E237:E237)</f>
        <v>8</v>
      </c>
      <c r="F238" t="s">
        <v>166</v>
      </c>
    </row>
    <row r="239" spans="1:12">
      <c r="B239" s="18" t="s">
        <v>167</v>
      </c>
    </row>
    <row r="241" spans="1:12">
      <c r="B241" t="s">
        <v>168</v>
      </c>
    </row>
    <row r="242" spans="1:12">
      <c r="E242">
        <f>D191</f>
        <v>3.25</v>
      </c>
      <c r="F242" t="s">
        <v>165</v>
      </c>
    </row>
    <row r="243" spans="1:12">
      <c r="E243">
        <f>D192</f>
        <v>2</v>
      </c>
      <c r="F243" t="s">
        <v>165</v>
      </c>
    </row>
    <row r="244" spans="1:12">
      <c r="E244" s="37">
        <f>SUM(E242:E243)</f>
        <v>5.25</v>
      </c>
      <c r="F244" t="s">
        <v>166</v>
      </c>
    </row>
    <row r="246" spans="1:12">
      <c r="A246" s="16">
        <v>8</v>
      </c>
      <c r="B246" s="16" t="s">
        <v>169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8" spans="1:12">
      <c r="B248" s="48" t="s">
        <v>170</v>
      </c>
    </row>
    <row r="249" spans="1:12">
      <c r="B249" t="s">
        <v>171</v>
      </c>
    </row>
    <row r="250" spans="1:12">
      <c r="D250" t="s">
        <v>149</v>
      </c>
    </row>
    <row r="251" spans="1:12">
      <c r="D251">
        <v>1</v>
      </c>
    </row>
    <row r="252" spans="1:12">
      <c r="C252" t="s">
        <v>4</v>
      </c>
      <c r="D252" s="37">
        <f>SUM(D251:D251)</f>
        <v>1</v>
      </c>
      <c r="E252" t="s">
        <v>45</v>
      </c>
    </row>
    <row r="254" spans="1:12">
      <c r="B254" s="48" t="s">
        <v>172</v>
      </c>
    </row>
    <row r="255" spans="1:12">
      <c r="B255" t="s">
        <v>173</v>
      </c>
    </row>
    <row r="256" spans="1:12">
      <c r="B256" t="s">
        <v>174</v>
      </c>
    </row>
    <row r="257" spans="2:5">
      <c r="D257">
        <v>2</v>
      </c>
    </row>
    <row r="258" spans="2:5">
      <c r="D258">
        <v>2</v>
      </c>
    </row>
    <row r="259" spans="2:5">
      <c r="C259" t="s">
        <v>4</v>
      </c>
      <c r="D259" s="37">
        <f>SUM(D257:D258)</f>
        <v>4</v>
      </c>
      <c r="E259" t="s">
        <v>45</v>
      </c>
    </row>
    <row r="260" spans="2:5">
      <c r="B260" t="s">
        <v>175</v>
      </c>
    </row>
    <row r="261" spans="2:5">
      <c r="D261">
        <v>2</v>
      </c>
    </row>
    <row r="262" spans="2:5">
      <c r="D262">
        <v>2</v>
      </c>
    </row>
    <row r="263" spans="2:5">
      <c r="C263" t="s">
        <v>4</v>
      </c>
      <c r="D263" s="37">
        <f>SUM(D261:D262)</f>
        <v>4</v>
      </c>
      <c r="E263" t="s">
        <v>45</v>
      </c>
    </row>
    <row r="265" spans="2:5">
      <c r="B265" s="48" t="s">
        <v>176</v>
      </c>
    </row>
    <row r="267" spans="2:5">
      <c r="B267" t="s">
        <v>177</v>
      </c>
    </row>
    <row r="268" spans="2:5">
      <c r="B268" t="s">
        <v>178</v>
      </c>
    </row>
    <row r="269" spans="2:5">
      <c r="C269" s="40" t="s">
        <v>179</v>
      </c>
      <c r="D269">
        <v>19</v>
      </c>
      <c r="E269" t="s">
        <v>45</v>
      </c>
    </row>
    <row r="270" spans="2:5">
      <c r="C270" t="s">
        <v>180</v>
      </c>
      <c r="D270">
        <v>6</v>
      </c>
      <c r="E270" t="s">
        <v>45</v>
      </c>
    </row>
    <row r="271" spans="2:5">
      <c r="C271" t="s">
        <v>181</v>
      </c>
      <c r="D271">
        <v>2</v>
      </c>
      <c r="E271" t="s">
        <v>45</v>
      </c>
    </row>
    <row r="272" spans="2:5">
      <c r="D272">
        <f>SUM(D269:D271)</f>
        <v>27</v>
      </c>
      <c r="E272" t="s">
        <v>45</v>
      </c>
    </row>
    <row r="273" spans="2:8">
      <c r="D273" s="37">
        <f>D272*2.5</f>
        <v>67.5</v>
      </c>
      <c r="E273" t="s">
        <v>182</v>
      </c>
    </row>
    <row r="275" spans="2:8">
      <c r="B275" t="s">
        <v>183</v>
      </c>
    </row>
    <row r="276" spans="2:8">
      <c r="B276" t="s">
        <v>184</v>
      </c>
    </row>
    <row r="277" spans="2:8">
      <c r="F277" s="40" t="s">
        <v>185</v>
      </c>
      <c r="G277">
        <v>20</v>
      </c>
      <c r="H277" t="s">
        <v>186</v>
      </c>
    </row>
    <row r="278" spans="2:8">
      <c r="G278" s="49">
        <f>SUM(G277:G277)</f>
        <v>20</v>
      </c>
      <c r="H278" t="s">
        <v>187</v>
      </c>
    </row>
    <row r="279" spans="2:8">
      <c r="G279" s="37">
        <f>G278*2</f>
        <v>40</v>
      </c>
      <c r="H279" t="s">
        <v>188</v>
      </c>
    </row>
    <row r="281" spans="2:8">
      <c r="B281" s="48" t="s">
        <v>189</v>
      </c>
    </row>
    <row r="282" spans="2:8">
      <c r="B282" t="s">
        <v>190</v>
      </c>
    </row>
    <row r="284" spans="2:8">
      <c r="C284" s="50" t="s">
        <v>191</v>
      </c>
      <c r="D284" t="s">
        <v>192</v>
      </c>
      <c r="F284" s="44" t="s">
        <v>193</v>
      </c>
    </row>
    <row r="285" spans="2:8">
      <c r="C285" s="23" t="s">
        <v>180</v>
      </c>
      <c r="D285" s="50">
        <f>D270</f>
        <v>6</v>
      </c>
      <c r="E285" s="51" t="s">
        <v>45</v>
      </c>
      <c r="F285">
        <f>D285*2*3</f>
        <v>36</v>
      </c>
    </row>
    <row r="286" spans="2:8">
      <c r="C286" s="23" t="s">
        <v>181</v>
      </c>
      <c r="D286" s="50">
        <f>D271</f>
        <v>2</v>
      </c>
      <c r="E286" s="51" t="s">
        <v>45</v>
      </c>
      <c r="F286">
        <f>D286*2*2</f>
        <v>8</v>
      </c>
    </row>
    <row r="287" spans="2:8">
      <c r="C287" s="40" t="s">
        <v>194</v>
      </c>
      <c r="D287" s="50">
        <v>12</v>
      </c>
      <c r="E287" s="51" t="s">
        <v>45</v>
      </c>
      <c r="F287">
        <f>D287*2*2</f>
        <v>48</v>
      </c>
    </row>
    <row r="288" spans="2:8">
      <c r="F288" s="49">
        <f>SUM(F284:F287)</f>
        <v>92</v>
      </c>
      <c r="G288" t="s">
        <v>186</v>
      </c>
    </row>
    <row r="289" spans="1:12">
      <c r="E289" s="40" t="s">
        <v>4</v>
      </c>
      <c r="F289" s="37">
        <f>SUM(F285:F288)</f>
        <v>184</v>
      </c>
      <c r="G289" t="s">
        <v>195</v>
      </c>
    </row>
    <row r="291" spans="1:12">
      <c r="B291" t="s">
        <v>196</v>
      </c>
    </row>
    <row r="293" spans="1:12">
      <c r="C293" s="50" t="s">
        <v>191</v>
      </c>
      <c r="D293" t="s">
        <v>192</v>
      </c>
      <c r="F293" s="44" t="s">
        <v>193</v>
      </c>
    </row>
    <row r="294" spans="1:12">
      <c r="C294" s="40" t="s">
        <v>179</v>
      </c>
      <c r="D294" s="50">
        <f>D269</f>
        <v>19</v>
      </c>
      <c r="E294" s="51" t="s">
        <v>45</v>
      </c>
      <c r="F294">
        <f>D294*3*3</f>
        <v>171</v>
      </c>
    </row>
    <row r="295" spans="1:12">
      <c r="E295" s="40" t="s">
        <v>4</v>
      </c>
      <c r="F295" s="37">
        <f>F294</f>
        <v>171</v>
      </c>
      <c r="G295" t="s">
        <v>197</v>
      </c>
    </row>
    <row r="297" spans="1:12">
      <c r="B297" t="s">
        <v>198</v>
      </c>
    </row>
    <row r="298" spans="1:12">
      <c r="B298" t="s">
        <v>199</v>
      </c>
    </row>
    <row r="299" spans="1:12">
      <c r="F299" s="40" t="s">
        <v>185</v>
      </c>
      <c r="G299">
        <v>20</v>
      </c>
      <c r="H299" t="s">
        <v>186</v>
      </c>
    </row>
    <row r="300" spans="1:12">
      <c r="G300" s="49">
        <f>SUM(G299:G299)</f>
        <v>20</v>
      </c>
      <c r="H300" t="s">
        <v>187</v>
      </c>
    </row>
    <row r="301" spans="1:12">
      <c r="G301" s="37">
        <f>G300*2</f>
        <v>40</v>
      </c>
      <c r="H301" t="s">
        <v>188</v>
      </c>
    </row>
    <row r="302" spans="1:12">
      <c r="G302" s="37">
        <f>G301*3</f>
        <v>120</v>
      </c>
      <c r="H302" t="s">
        <v>200</v>
      </c>
    </row>
    <row r="304" spans="1:12">
      <c r="A304" s="16">
        <v>9</v>
      </c>
      <c r="B304" s="16" t="s">
        <v>201</v>
      </c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6" spans="1:7">
      <c r="A306">
        <v>183</v>
      </c>
      <c r="B306" s="48" t="s">
        <v>202</v>
      </c>
    </row>
    <row r="307" spans="1:7">
      <c r="B307" t="s">
        <v>203</v>
      </c>
    </row>
    <row r="308" spans="1:7">
      <c r="B308" t="s">
        <v>147</v>
      </c>
    </row>
    <row r="309" spans="1:7">
      <c r="E309" t="s">
        <v>149</v>
      </c>
    </row>
    <row r="310" spans="1:7">
      <c r="D310" s="40" t="s">
        <v>204</v>
      </c>
      <c r="E310" s="44">
        <v>1</v>
      </c>
      <c r="G310" s="44"/>
    </row>
    <row r="311" spans="1:7">
      <c r="D311" s="40"/>
      <c r="E311" s="44"/>
      <c r="F311" s="44"/>
      <c r="G311" s="52"/>
    </row>
    <row r="312" spans="1:7">
      <c r="E312" s="47">
        <f>SUM(E310:E311)</f>
        <v>1</v>
      </c>
      <c r="F312" t="s">
        <v>45</v>
      </c>
    </row>
    <row r="313" spans="1:7">
      <c r="D313" s="44"/>
      <c r="E313" s="44"/>
      <c r="F313" s="44"/>
      <c r="G313" s="52"/>
    </row>
    <row r="314" spans="1:7">
      <c r="B314" t="s">
        <v>205</v>
      </c>
    </row>
    <row r="315" spans="1:7">
      <c r="B315" t="s">
        <v>206</v>
      </c>
    </row>
    <row r="316" spans="1:7">
      <c r="E316" s="358" t="s">
        <v>207</v>
      </c>
      <c r="F316" s="358"/>
    </row>
    <row r="317" spans="1:7">
      <c r="E317" t="s">
        <v>208</v>
      </c>
      <c r="F317">
        <v>1.5</v>
      </c>
      <c r="G317">
        <v>0.6</v>
      </c>
    </row>
    <row r="318" spans="1:7">
      <c r="D318" s="40" t="s">
        <v>204</v>
      </c>
      <c r="E318" s="44">
        <v>1</v>
      </c>
      <c r="F318" s="44"/>
      <c r="G318" s="50"/>
    </row>
    <row r="319" spans="1:7">
      <c r="D319" t="s">
        <v>4</v>
      </c>
      <c r="E319" s="47">
        <f>F317*G317</f>
        <v>0.89999999999999991</v>
      </c>
      <c r="F319" s="47"/>
      <c r="G319" s="47"/>
    </row>
    <row r="320" spans="1:7">
      <c r="E320" s="37">
        <f>E319+F319+G319</f>
        <v>0.89999999999999991</v>
      </c>
      <c r="F320" t="s">
        <v>15</v>
      </c>
    </row>
    <row r="321" spans="2:6">
      <c r="B321" t="s">
        <v>209</v>
      </c>
    </row>
    <row r="322" spans="2:6">
      <c r="B322" t="s">
        <v>210</v>
      </c>
    </row>
    <row r="324" spans="2:6">
      <c r="E324" s="53" t="s">
        <v>211</v>
      </c>
    </row>
    <row r="325" spans="2:6">
      <c r="D325" s="40" t="s">
        <v>204</v>
      </c>
      <c r="E325" s="44">
        <v>1</v>
      </c>
      <c r="F325" t="s">
        <v>212</v>
      </c>
    </row>
    <row r="326" spans="2:6">
      <c r="D326" s="40" t="s">
        <v>213</v>
      </c>
      <c r="E326" s="44">
        <v>1</v>
      </c>
      <c r="F326" t="s">
        <v>214</v>
      </c>
    </row>
    <row r="327" spans="2:6">
      <c r="D327" t="s">
        <v>4</v>
      </c>
      <c r="E327" s="47">
        <f>SUM(E325:E326)</f>
        <v>2</v>
      </c>
    </row>
    <row r="329" spans="2:6">
      <c r="B329" s="48" t="s">
        <v>215</v>
      </c>
    </row>
    <row r="330" spans="2:6">
      <c r="B330" t="s">
        <v>216</v>
      </c>
    </row>
    <row r="332" spans="2:6">
      <c r="E332" s="53" t="s">
        <v>211</v>
      </c>
    </row>
    <row r="333" spans="2:6">
      <c r="D333" s="40" t="s">
        <v>204</v>
      </c>
      <c r="E333" s="44">
        <v>1</v>
      </c>
    </row>
    <row r="334" spans="2:6">
      <c r="D334" s="40" t="s">
        <v>213</v>
      </c>
      <c r="E334" s="44">
        <v>1</v>
      </c>
    </row>
    <row r="335" spans="2:6">
      <c r="D335" t="s">
        <v>4</v>
      </c>
      <c r="E335" s="47">
        <f>SUM(E333:E334)</f>
        <v>2</v>
      </c>
    </row>
    <row r="337" spans="2:8">
      <c r="B337" s="48" t="s">
        <v>217</v>
      </c>
    </row>
    <row r="338" spans="2:8">
      <c r="B338" t="s">
        <v>218</v>
      </c>
    </row>
    <row r="339" spans="2:8">
      <c r="E339" s="54"/>
      <c r="F339" s="55"/>
    </row>
    <row r="340" spans="2:8">
      <c r="D340" s="40" t="s">
        <v>204</v>
      </c>
      <c r="E340" s="44">
        <v>1</v>
      </c>
      <c r="F340" s="50"/>
    </row>
    <row r="341" spans="2:8">
      <c r="D341" s="40" t="s">
        <v>213</v>
      </c>
      <c r="E341" s="44">
        <v>1</v>
      </c>
      <c r="F341" s="50"/>
    </row>
    <row r="342" spans="2:8">
      <c r="D342" t="s">
        <v>4</v>
      </c>
      <c r="E342" s="47">
        <f>SUM(E340:E341)</f>
        <v>2</v>
      </c>
      <c r="F342" s="47"/>
    </row>
    <row r="344" spans="2:8">
      <c r="B344" s="48" t="s">
        <v>219</v>
      </c>
    </row>
    <row r="345" spans="2:8">
      <c r="B345" t="s">
        <v>220</v>
      </c>
    </row>
    <row r="346" spans="2:8">
      <c r="B346" t="s">
        <v>221</v>
      </c>
    </row>
    <row r="348" spans="2:8">
      <c r="E348" s="55" t="s">
        <v>222</v>
      </c>
      <c r="F348" s="55" t="s">
        <v>223</v>
      </c>
      <c r="G348" s="55"/>
      <c r="H348" s="55"/>
    </row>
    <row r="349" spans="2:8">
      <c r="D349" s="40" t="s">
        <v>204</v>
      </c>
      <c r="E349" s="44">
        <v>12</v>
      </c>
      <c r="F349" s="44">
        <v>6</v>
      </c>
      <c r="G349" s="51" t="s">
        <v>224</v>
      </c>
      <c r="H349" s="44"/>
    </row>
    <row r="350" spans="2:8">
      <c r="D350" s="40" t="s">
        <v>213</v>
      </c>
      <c r="E350" s="44">
        <v>6</v>
      </c>
      <c r="F350" s="44">
        <v>6</v>
      </c>
      <c r="G350" s="44"/>
      <c r="H350" s="44"/>
    </row>
    <row r="351" spans="2:8">
      <c r="D351" t="s">
        <v>4</v>
      </c>
      <c r="E351" s="47">
        <f>SUM(E349:E350)</f>
        <v>18</v>
      </c>
      <c r="F351" s="47">
        <f>SUM(F349:F350)</f>
        <v>12</v>
      </c>
      <c r="G351" s="56"/>
    </row>
    <row r="353" spans="1:12">
      <c r="B353" t="s">
        <v>225</v>
      </c>
    </row>
    <row r="355" spans="1:12">
      <c r="E355" s="55" t="s">
        <v>226</v>
      </c>
      <c r="F355" s="55"/>
      <c r="G355" s="55"/>
      <c r="H355" s="55"/>
    </row>
    <row r="356" spans="1:12">
      <c r="D356" s="40" t="s">
        <v>204</v>
      </c>
      <c r="E356" s="44">
        <v>12</v>
      </c>
      <c r="F356" s="44"/>
      <c r="G356" s="51" t="s">
        <v>224</v>
      </c>
      <c r="H356" s="44"/>
    </row>
    <row r="357" spans="1:12">
      <c r="D357" s="40" t="s">
        <v>213</v>
      </c>
      <c r="E357" s="44">
        <v>6</v>
      </c>
      <c r="F357" s="44"/>
      <c r="G357" s="44"/>
      <c r="H357" s="44"/>
    </row>
    <row r="358" spans="1:12">
      <c r="D358" t="s">
        <v>4</v>
      </c>
      <c r="E358" s="47">
        <f>SUM(E356:E357)</f>
        <v>18</v>
      </c>
      <c r="F358" s="47"/>
      <c r="G358" s="56"/>
    </row>
    <row r="359" spans="1:12">
      <c r="E359" s="47"/>
      <c r="F359" s="47"/>
      <c r="G359" s="56"/>
    </row>
    <row r="360" spans="1:12">
      <c r="B360" s="48" t="s">
        <v>227</v>
      </c>
      <c r="E360" s="47"/>
      <c r="F360" s="47"/>
      <c r="G360" s="56"/>
    </row>
    <row r="361" spans="1:12">
      <c r="E361" s="55" t="s">
        <v>228</v>
      </c>
      <c r="F361" s="47"/>
      <c r="G361" s="56"/>
    </row>
    <row r="362" spans="1:12">
      <c r="D362" s="40" t="s">
        <v>204</v>
      </c>
      <c r="E362" s="44">
        <v>6</v>
      </c>
      <c r="F362" s="47"/>
      <c r="G362" s="56"/>
    </row>
    <row r="363" spans="1:12">
      <c r="D363" t="s">
        <v>4</v>
      </c>
      <c r="E363" s="47">
        <f>SUM(E362)</f>
        <v>6</v>
      </c>
      <c r="G363" s="56"/>
    </row>
    <row r="364" spans="1:12">
      <c r="F364" s="47"/>
      <c r="G364" s="56"/>
    </row>
    <row r="366" spans="1:12">
      <c r="A366" s="16">
        <v>10</v>
      </c>
      <c r="B366" s="16" t="s">
        <v>229</v>
      </c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8" spans="1:12">
      <c r="B368" s="48" t="s">
        <v>230</v>
      </c>
    </row>
    <row r="369" spans="2:8">
      <c r="B369" t="s">
        <v>231</v>
      </c>
    </row>
    <row r="370" spans="2:8">
      <c r="E370" t="s">
        <v>232</v>
      </c>
    </row>
    <row r="371" spans="2:8">
      <c r="E371" s="57" t="s">
        <v>233</v>
      </c>
      <c r="F371" s="57" t="s">
        <v>151</v>
      </c>
      <c r="G371" s="57" t="s">
        <v>31</v>
      </c>
      <c r="H371" s="50"/>
    </row>
    <row r="372" spans="2:8">
      <c r="C372" s="5" t="s">
        <v>234</v>
      </c>
      <c r="D372" s="58"/>
      <c r="E372" s="59">
        <v>70</v>
      </c>
      <c r="F372" s="60">
        <v>3</v>
      </c>
      <c r="G372" s="60">
        <f>E372*F372</f>
        <v>210</v>
      </c>
      <c r="H372" s="50"/>
    </row>
    <row r="373" spans="2:8">
      <c r="C373" s="8" t="s">
        <v>235</v>
      </c>
      <c r="D373" s="61"/>
      <c r="E373" s="59">
        <v>5.0999999999999996</v>
      </c>
      <c r="F373" s="60">
        <v>1.3</v>
      </c>
      <c r="G373" s="60">
        <f>2*E373*F373</f>
        <v>13.26</v>
      </c>
      <c r="H373" s="50"/>
    </row>
    <row r="374" spans="2:8">
      <c r="C374" s="354" t="s">
        <v>236</v>
      </c>
      <c r="D374" s="355"/>
      <c r="E374" s="59">
        <v>34</v>
      </c>
      <c r="F374" s="60">
        <v>4.2</v>
      </c>
      <c r="G374" s="60">
        <f>E374*F374</f>
        <v>142.80000000000001</v>
      </c>
      <c r="H374" s="50"/>
    </row>
    <row r="375" spans="2:8">
      <c r="C375" s="5" t="s">
        <v>237</v>
      </c>
      <c r="D375" s="58"/>
      <c r="E375" s="59">
        <f>D191</f>
        <v>3.25</v>
      </c>
      <c r="F375" s="60">
        <v>1</v>
      </c>
      <c r="G375" s="60">
        <f>E375*F375</f>
        <v>3.25</v>
      </c>
      <c r="H375" s="50"/>
    </row>
    <row r="376" spans="2:8">
      <c r="C376" s="5"/>
      <c r="D376" s="58"/>
      <c r="E376" s="59"/>
      <c r="F376" s="60"/>
      <c r="G376" s="60"/>
      <c r="H376" s="50"/>
    </row>
    <row r="377" spans="2:8">
      <c r="D377" s="26" t="s">
        <v>4</v>
      </c>
      <c r="E377" s="62">
        <f>SUM(E372:E376)</f>
        <v>112.35</v>
      </c>
      <c r="F377" s="52"/>
      <c r="G377" s="46">
        <f>SUM(G372:G376)</f>
        <v>369.31</v>
      </c>
    </row>
    <row r="378" spans="2:8">
      <c r="D378" t="s">
        <v>238</v>
      </c>
      <c r="E378" s="37">
        <v>401</v>
      </c>
      <c r="F378" t="s">
        <v>239</v>
      </c>
    </row>
    <row r="380" spans="2:8">
      <c r="B380" t="s">
        <v>240</v>
      </c>
    </row>
    <row r="381" spans="2:8">
      <c r="B381" t="s">
        <v>241</v>
      </c>
      <c r="E381" s="57" t="s">
        <v>31</v>
      </c>
      <c r="F381" s="57"/>
    </row>
    <row r="382" spans="2:8">
      <c r="C382" s="5" t="s">
        <v>234</v>
      </c>
      <c r="D382" s="58"/>
      <c r="E382" s="60">
        <f>D230</f>
        <v>87.37</v>
      </c>
      <c r="F382" s="63"/>
      <c r="H382" s="50"/>
    </row>
    <row r="383" spans="2:8">
      <c r="C383" s="5"/>
      <c r="D383" s="58"/>
      <c r="E383" s="60"/>
      <c r="F383" s="63"/>
      <c r="H383" s="50"/>
    </row>
    <row r="384" spans="2:8">
      <c r="C384" s="5"/>
      <c r="D384" s="58"/>
      <c r="E384" s="60"/>
      <c r="F384" s="63"/>
    </row>
    <row r="385" spans="2:8">
      <c r="C385" s="3"/>
      <c r="D385" s="26" t="s">
        <v>4</v>
      </c>
      <c r="E385" s="62">
        <f>SUM(E382:E384)</f>
        <v>87.37</v>
      </c>
      <c r="F385" s="52"/>
    </row>
    <row r="386" spans="2:8">
      <c r="C386" s="3"/>
      <c r="D386" t="s">
        <v>238</v>
      </c>
      <c r="E386" s="37">
        <v>88</v>
      </c>
      <c r="F386" t="s">
        <v>239</v>
      </c>
    </row>
    <row r="388" spans="2:8">
      <c r="B388" s="48" t="s">
        <v>242</v>
      </c>
      <c r="E388" s="37"/>
    </row>
    <row r="389" spans="2:8">
      <c r="B389" t="s">
        <v>243</v>
      </c>
    </row>
    <row r="390" spans="2:8">
      <c r="D390" s="359" t="s">
        <v>244</v>
      </c>
      <c r="E390" s="359"/>
      <c r="F390" s="360" t="s">
        <v>31</v>
      </c>
      <c r="G390" s="360"/>
    </row>
    <row r="391" spans="2:8">
      <c r="D391" s="359"/>
      <c r="E391" s="359"/>
      <c r="F391" s="64" t="s">
        <v>245</v>
      </c>
      <c r="G391" s="64" t="s">
        <v>246</v>
      </c>
      <c r="H391" s="50"/>
    </row>
    <row r="392" spans="2:8">
      <c r="D392" s="5" t="s">
        <v>234</v>
      </c>
      <c r="E392" s="58"/>
      <c r="F392" s="65">
        <f>G372</f>
        <v>210</v>
      </c>
      <c r="G392" s="65">
        <f>E386</f>
        <v>88</v>
      </c>
      <c r="H392" s="50"/>
    </row>
    <row r="393" spans="2:8">
      <c r="D393" s="354" t="s">
        <v>236</v>
      </c>
      <c r="E393" s="355"/>
      <c r="F393" s="65">
        <f>G374</f>
        <v>142.80000000000001</v>
      </c>
      <c r="G393" s="59"/>
      <c r="H393" s="50"/>
    </row>
    <row r="394" spans="2:8">
      <c r="D394" s="5" t="s">
        <v>237</v>
      </c>
      <c r="E394" s="58"/>
      <c r="F394" s="65">
        <f>G375</f>
        <v>3.25</v>
      </c>
      <c r="G394" s="65">
        <f>E383</f>
        <v>0</v>
      </c>
    </row>
    <row r="395" spans="2:8">
      <c r="D395" s="5" t="s">
        <v>235</v>
      </c>
      <c r="E395" s="58"/>
      <c r="F395" s="65">
        <f>G373</f>
        <v>13.26</v>
      </c>
      <c r="G395" s="65"/>
    </row>
    <row r="396" spans="2:8">
      <c r="D396" s="26" t="s">
        <v>4</v>
      </c>
      <c r="E396" s="32"/>
      <c r="F396" s="46">
        <v>401</v>
      </c>
      <c r="G396" s="46">
        <f>SUM(G392:G395)</f>
        <v>88</v>
      </c>
    </row>
    <row r="397" spans="2:8">
      <c r="D397" t="s">
        <v>238</v>
      </c>
      <c r="E397" s="42">
        <f>ROUNDUP(SUM(F396:G396),0)</f>
        <v>489</v>
      </c>
      <c r="F397" t="s">
        <v>239</v>
      </c>
    </row>
    <row r="398" spans="2:8">
      <c r="E398" s="42"/>
    </row>
    <row r="399" spans="2:8">
      <c r="B399" t="s">
        <v>247</v>
      </c>
      <c r="E399" s="42"/>
    </row>
    <row r="400" spans="2:8">
      <c r="E400" s="42"/>
    </row>
    <row r="401" spans="1:12">
      <c r="E401" s="57" t="s">
        <v>233</v>
      </c>
      <c r="F401" s="57" t="s">
        <v>151</v>
      </c>
      <c r="G401" s="57" t="s">
        <v>31</v>
      </c>
    </row>
    <row r="402" spans="1:12">
      <c r="C402" s="5" t="s">
        <v>234</v>
      </c>
      <c r="D402" s="58"/>
      <c r="E402" s="59">
        <v>54.6</v>
      </c>
      <c r="F402" s="60">
        <v>3</v>
      </c>
      <c r="G402" s="60">
        <f>E402*F402</f>
        <v>163.80000000000001</v>
      </c>
    </row>
    <row r="403" spans="1:12">
      <c r="C403" s="354" t="s">
        <v>236</v>
      </c>
      <c r="D403" s="355"/>
      <c r="E403" s="59"/>
      <c r="F403" s="60"/>
      <c r="G403" s="60"/>
    </row>
    <row r="404" spans="1:12">
      <c r="C404" s="5" t="s">
        <v>237</v>
      </c>
      <c r="D404" s="58"/>
      <c r="E404" s="59"/>
      <c r="F404" s="60"/>
      <c r="G404" s="60"/>
    </row>
    <row r="405" spans="1:12">
      <c r="C405" s="5" t="s">
        <v>248</v>
      </c>
      <c r="D405" s="58"/>
      <c r="E405" s="59"/>
      <c r="F405" s="60"/>
      <c r="G405" s="60"/>
    </row>
    <row r="406" spans="1:12">
      <c r="D406" s="26" t="s">
        <v>4</v>
      </c>
      <c r="E406" s="62">
        <f>SUM(E402:E405)</f>
        <v>54.6</v>
      </c>
      <c r="F406" s="52"/>
      <c r="G406" s="46">
        <f>SUM(G402:G405)</f>
        <v>163.80000000000001</v>
      </c>
    </row>
    <row r="408" spans="1:12">
      <c r="A408" s="16">
        <v>11</v>
      </c>
      <c r="B408" s="16" t="s">
        <v>249</v>
      </c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10" spans="1:12">
      <c r="B410" s="48" t="s">
        <v>250</v>
      </c>
    </row>
    <row r="411" spans="1:12">
      <c r="B411" t="s">
        <v>251</v>
      </c>
    </row>
    <row r="412" spans="1:12">
      <c r="D412" s="40" t="s">
        <v>31</v>
      </c>
      <c r="E412" s="44">
        <f>H21</f>
        <v>87.37</v>
      </c>
      <c r="F412" s="50"/>
    </row>
    <row r="413" spans="1:12">
      <c r="D413" s="40" t="s">
        <v>252</v>
      </c>
      <c r="E413" s="45">
        <v>0.1</v>
      </c>
      <c r="F413" s="66"/>
    </row>
    <row r="414" spans="1:12">
      <c r="D414" s="50" t="s">
        <v>253</v>
      </c>
      <c r="E414" s="67">
        <f>E412*E413</f>
        <v>8.7370000000000001</v>
      </c>
      <c r="F414" t="s">
        <v>48</v>
      </c>
    </row>
    <row r="415" spans="1:12">
      <c r="E415" s="68"/>
    </row>
    <row r="416" spans="1:12">
      <c r="B416" s="48" t="s">
        <v>254</v>
      </c>
    </row>
    <row r="417" spans="2:6">
      <c r="B417" t="s">
        <v>255</v>
      </c>
    </row>
    <row r="419" spans="2:6">
      <c r="D419" s="50" t="s">
        <v>253</v>
      </c>
      <c r="E419" s="67">
        <f>E414</f>
        <v>8.7370000000000001</v>
      </c>
      <c r="F419" t="s">
        <v>15</v>
      </c>
    </row>
    <row r="421" spans="2:6">
      <c r="B421" s="48" t="s">
        <v>256</v>
      </c>
    </row>
    <row r="422" spans="2:6">
      <c r="D422" s="40" t="s">
        <v>31</v>
      </c>
      <c r="E422" s="44">
        <f>E412</f>
        <v>87.37</v>
      </c>
    </row>
    <row r="423" spans="2:6">
      <c r="D423" s="40" t="s">
        <v>252</v>
      </c>
      <c r="E423" s="45">
        <v>7.0000000000000007E-2</v>
      </c>
    </row>
    <row r="424" spans="2:6">
      <c r="D424" s="50" t="s">
        <v>253</v>
      </c>
      <c r="E424" s="67">
        <f>E422*E423</f>
        <v>6.1159000000000008</v>
      </c>
      <c r="F424" t="s">
        <v>48</v>
      </c>
    </row>
    <row r="425" spans="2:6">
      <c r="D425" s="50"/>
      <c r="E425" s="67"/>
    </row>
    <row r="426" spans="2:6">
      <c r="B426" s="48" t="s">
        <v>257</v>
      </c>
    </row>
    <row r="427" spans="2:6">
      <c r="B427" t="s">
        <v>255</v>
      </c>
    </row>
    <row r="428" spans="2:6">
      <c r="D428" s="40" t="s">
        <v>31</v>
      </c>
      <c r="E428" s="44">
        <f>E422</f>
        <v>87.37</v>
      </c>
    </row>
    <row r="429" spans="2:6">
      <c r="D429" s="40" t="s">
        <v>252</v>
      </c>
      <c r="E429" s="45">
        <v>0.03</v>
      </c>
      <c r="F429" t="s">
        <v>15</v>
      </c>
    </row>
    <row r="430" spans="2:6">
      <c r="D430" s="50" t="s">
        <v>253</v>
      </c>
      <c r="E430" s="67">
        <f>E428*E429</f>
        <v>2.6211000000000002</v>
      </c>
      <c r="F430" t="s">
        <v>15</v>
      </c>
    </row>
    <row r="431" spans="2:6">
      <c r="B431" s="48" t="s">
        <v>258</v>
      </c>
    </row>
    <row r="432" spans="2:6">
      <c r="B432" t="s">
        <v>259</v>
      </c>
    </row>
    <row r="434" spans="1:12">
      <c r="D434" s="50" t="s">
        <v>31</v>
      </c>
      <c r="E434" s="67">
        <f>E412</f>
        <v>87.37</v>
      </c>
      <c r="F434" t="s">
        <v>15</v>
      </c>
    </row>
    <row r="435" spans="1:12">
      <c r="D435" s="50"/>
      <c r="E435" s="67"/>
    </row>
    <row r="436" spans="1:12">
      <c r="B436" s="48" t="s">
        <v>260</v>
      </c>
      <c r="D436" s="50"/>
      <c r="E436" s="67"/>
    </row>
    <row r="437" spans="1:12">
      <c r="B437" t="s">
        <v>261</v>
      </c>
      <c r="D437" s="50"/>
      <c r="E437" s="67"/>
    </row>
    <row r="438" spans="1:12">
      <c r="D438" t="s">
        <v>233</v>
      </c>
      <c r="E438" s="69">
        <f>E372+E373*2</f>
        <v>80.2</v>
      </c>
      <c r="F438" t="s">
        <v>262</v>
      </c>
    </row>
    <row r="440" spans="1:12">
      <c r="B440" s="48" t="s">
        <v>263</v>
      </c>
    </row>
    <row r="441" spans="1:12">
      <c r="B441" t="s">
        <v>264</v>
      </c>
    </row>
    <row r="442" spans="1:12">
      <c r="D442" s="40" t="s">
        <v>265</v>
      </c>
      <c r="E442" s="44">
        <f>4*0.9</f>
        <v>3.6</v>
      </c>
      <c r="F442" s="50"/>
    </row>
    <row r="443" spans="1:12">
      <c r="D443" s="23" t="s">
        <v>233</v>
      </c>
      <c r="E443" s="70">
        <f>E442*0.8</f>
        <v>2.8800000000000003</v>
      </c>
      <c r="F443" s="66"/>
    </row>
    <row r="444" spans="1:12">
      <c r="C444" t="s">
        <v>266</v>
      </c>
      <c r="E444" s="71">
        <v>2.2000000000000002</v>
      </c>
    </row>
    <row r="446" spans="1:12">
      <c r="D446" t="s">
        <v>233</v>
      </c>
      <c r="E446" s="66">
        <f>SUM(E443:E444)</f>
        <v>5.08</v>
      </c>
      <c r="F446" t="s">
        <v>262</v>
      </c>
    </row>
    <row r="447" spans="1:12">
      <c r="A447" s="16">
        <v>12</v>
      </c>
      <c r="B447" s="16" t="s">
        <v>267</v>
      </c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9" spans="2:7">
      <c r="B449" s="48" t="s">
        <v>268</v>
      </c>
    </row>
    <row r="450" spans="2:7">
      <c r="B450" t="s">
        <v>269</v>
      </c>
    </row>
    <row r="451" spans="2:7">
      <c r="C451" t="s">
        <v>241</v>
      </c>
      <c r="E451" t="s">
        <v>238</v>
      </c>
      <c r="F451" s="47">
        <f>15.2*2</f>
        <v>30.4</v>
      </c>
      <c r="G451" s="51" t="s">
        <v>15</v>
      </c>
    </row>
    <row r="452" spans="2:7">
      <c r="F452" s="46"/>
      <c r="G452" s="51"/>
    </row>
    <row r="453" spans="2:7">
      <c r="E453" t="s">
        <v>5</v>
      </c>
      <c r="F453" s="46">
        <f>F451-F452</f>
        <v>30.4</v>
      </c>
      <c r="G453" s="51"/>
    </row>
    <row r="454" spans="2:7">
      <c r="B454" s="48" t="s">
        <v>270</v>
      </c>
    </row>
    <row r="455" spans="2:7">
      <c r="B455" t="s">
        <v>271</v>
      </c>
    </row>
    <row r="456" spans="2:7">
      <c r="C456" t="s">
        <v>241</v>
      </c>
      <c r="E456" t="s">
        <v>238</v>
      </c>
      <c r="F456" s="47">
        <f>E378-G373-(4.45*3)</f>
        <v>374.39</v>
      </c>
      <c r="G456" s="51" t="s">
        <v>15</v>
      </c>
    </row>
    <row r="457" spans="2:7">
      <c r="F457" s="47"/>
      <c r="G457" s="51"/>
    </row>
    <row r="458" spans="2:7">
      <c r="B458" t="s">
        <v>272</v>
      </c>
      <c r="F458" s="47"/>
      <c r="G458" s="51"/>
    </row>
    <row r="459" spans="2:7">
      <c r="E459" s="40" t="s">
        <v>233</v>
      </c>
      <c r="F459" s="47">
        <v>80.599999999999994</v>
      </c>
      <c r="G459" s="51" t="s">
        <v>186</v>
      </c>
    </row>
    <row r="460" spans="2:7">
      <c r="E460" s="40" t="s">
        <v>151</v>
      </c>
      <c r="F460" s="47">
        <v>4.2</v>
      </c>
      <c r="G460" s="51" t="s">
        <v>186</v>
      </c>
    </row>
    <row r="461" spans="2:7">
      <c r="E461" t="s">
        <v>31</v>
      </c>
      <c r="F461" s="47">
        <f>F459*F460</f>
        <v>338.52</v>
      </c>
      <c r="G461" s="51" t="s">
        <v>15</v>
      </c>
    </row>
    <row r="462" spans="2:7">
      <c r="B462" s="48" t="s">
        <v>273</v>
      </c>
      <c r="F462" s="47"/>
      <c r="G462" s="51"/>
    </row>
    <row r="463" spans="2:7">
      <c r="B463" t="s">
        <v>274</v>
      </c>
    </row>
    <row r="464" spans="2:7">
      <c r="C464" t="s">
        <v>241</v>
      </c>
      <c r="E464" t="s">
        <v>238</v>
      </c>
      <c r="F464" s="47">
        <f>G373+(4.45*3)</f>
        <v>26.61</v>
      </c>
      <c r="G464" s="51" t="s">
        <v>15</v>
      </c>
    </row>
    <row r="465" spans="1:12">
      <c r="F465" s="47"/>
      <c r="G465" s="51"/>
    </row>
    <row r="466" spans="1:12">
      <c r="B466" t="s">
        <v>275</v>
      </c>
    </row>
    <row r="467" spans="1:12">
      <c r="B467" t="s">
        <v>276</v>
      </c>
    </row>
    <row r="468" spans="1:12">
      <c r="B468" t="s">
        <v>277</v>
      </c>
    </row>
    <row r="469" spans="1:12">
      <c r="C469" t="s">
        <v>278</v>
      </c>
      <c r="D469" s="40"/>
      <c r="E469" s="50">
        <v>6</v>
      </c>
    </row>
    <row r="470" spans="1:12">
      <c r="D470" s="40"/>
      <c r="E470" s="66">
        <f>(E469*0.9)*2*2.1</f>
        <v>22.680000000000003</v>
      </c>
    </row>
    <row r="471" spans="1:12">
      <c r="D471" t="s">
        <v>4</v>
      </c>
      <c r="E471" s="67">
        <f>SUM(E470)</f>
        <v>22.680000000000003</v>
      </c>
      <c r="F471" t="s">
        <v>15</v>
      </c>
    </row>
    <row r="472" spans="1:12">
      <c r="E472" s="37"/>
    </row>
    <row r="473" spans="1:12">
      <c r="B473" t="s">
        <v>279</v>
      </c>
    </row>
    <row r="474" spans="1:12">
      <c r="B474" t="s">
        <v>280</v>
      </c>
    </row>
    <row r="475" spans="1:12">
      <c r="B475" t="s">
        <v>281</v>
      </c>
    </row>
    <row r="476" spans="1:12">
      <c r="D476" s="40"/>
      <c r="E476" s="50"/>
    </row>
    <row r="477" spans="1:12">
      <c r="D477" t="s">
        <v>4</v>
      </c>
      <c r="E477" s="67">
        <f>G217</f>
        <v>3.4</v>
      </c>
      <c r="F477" t="s">
        <v>15</v>
      </c>
    </row>
    <row r="478" spans="1:12">
      <c r="E478" s="67"/>
    </row>
    <row r="479" spans="1:12">
      <c r="A479" s="16">
        <v>13</v>
      </c>
      <c r="B479" s="16" t="s">
        <v>282</v>
      </c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1" spans="1:12">
      <c r="B481" t="s">
        <v>283</v>
      </c>
    </row>
    <row r="483" spans="1:12">
      <c r="B483" t="s">
        <v>284</v>
      </c>
    </row>
    <row r="484" spans="1:12">
      <c r="B484" t="s">
        <v>285</v>
      </c>
    </row>
    <row r="486" spans="1:12">
      <c r="B486" t="s">
        <v>286</v>
      </c>
    </row>
    <row r="487" spans="1:12">
      <c r="B487" t="s">
        <v>287</v>
      </c>
    </row>
    <row r="489" spans="1:12">
      <c r="A489" s="16">
        <v>14</v>
      </c>
      <c r="B489" s="16" t="s">
        <v>288</v>
      </c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1" spans="1:12">
      <c r="B491" s="48" t="s">
        <v>289</v>
      </c>
    </row>
    <row r="492" spans="1:12">
      <c r="B492" t="s">
        <v>290</v>
      </c>
    </row>
  </sheetData>
  <mergeCells count="7">
    <mergeCell ref="C403:D403"/>
    <mergeCell ref="B38:I39"/>
    <mergeCell ref="E316:F316"/>
    <mergeCell ref="C374:D374"/>
    <mergeCell ref="D390:E391"/>
    <mergeCell ref="F390:G390"/>
    <mergeCell ref="D393:E39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42"/>
  <sheetViews>
    <sheetView showGridLines="0" view="pageBreakPreview" zoomScale="115" zoomScaleSheetLayoutView="115" workbookViewId="0">
      <selection activeCell="BA34" sqref="BA34:BQ35"/>
    </sheetView>
  </sheetViews>
  <sheetFormatPr defaultRowHeight="14.25"/>
  <cols>
    <col min="1" max="13" width="1.7109375" style="120" customWidth="1"/>
    <col min="14" max="69" width="1.7109375" style="113" customWidth="1"/>
    <col min="70" max="73" width="1.7109375" style="121" customWidth="1"/>
    <col min="74" max="83" width="1.7109375" style="113" customWidth="1"/>
    <col min="84" max="105" width="1.7109375" style="122" customWidth="1"/>
    <col min="106" max="128" width="1.7109375" style="113" customWidth="1"/>
    <col min="129" max="16384" width="9.140625" style="113"/>
  </cols>
  <sheetData>
    <row r="1" spans="1:127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5"/>
      <c r="BS1" s="85"/>
      <c r="BT1" s="85"/>
      <c r="BU1" s="85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</row>
    <row r="2" spans="1:127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5"/>
      <c r="BS2" s="85"/>
      <c r="BT2" s="85"/>
      <c r="BU2" s="85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</row>
    <row r="3" spans="1:127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5"/>
      <c r="BS3" s="85"/>
      <c r="BT3" s="85"/>
      <c r="BU3" s="85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</row>
    <row r="4" spans="1:127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5"/>
      <c r="BS4" s="85"/>
      <c r="BT4" s="85"/>
      <c r="BU4" s="85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</row>
    <row r="5" spans="1:127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5"/>
      <c r="BS5" s="85"/>
      <c r="BT5" s="85"/>
      <c r="BU5" s="85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</row>
    <row r="6" spans="1:127" ht="12.75" customHeight="1">
      <c r="A6" s="371" t="s">
        <v>341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71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</row>
    <row r="7" spans="1:127" ht="12.75" customHeight="1">
      <c r="A7" s="371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1"/>
      <c r="CD7" s="371"/>
      <c r="CE7" s="371"/>
      <c r="CF7" s="371"/>
      <c r="CG7" s="371"/>
      <c r="CH7" s="371"/>
      <c r="CI7" s="371"/>
      <c r="CJ7" s="371"/>
      <c r="CK7" s="371"/>
      <c r="CL7" s="371"/>
      <c r="CM7" s="371"/>
      <c r="CN7" s="371"/>
      <c r="CO7" s="371"/>
      <c r="CP7" s="371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</row>
    <row r="8" spans="1:127" ht="12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5"/>
      <c r="BS8" s="85"/>
      <c r="BT8" s="85"/>
      <c r="BU8" s="85"/>
      <c r="BV8" s="84"/>
      <c r="BW8" s="84"/>
      <c r="BX8" s="84"/>
      <c r="BY8" s="84"/>
      <c r="BZ8" s="370" t="s">
        <v>365</v>
      </c>
      <c r="CA8" s="370"/>
      <c r="CB8" s="370"/>
      <c r="CC8" s="370"/>
      <c r="CD8" s="370"/>
      <c r="CE8" s="370"/>
      <c r="CF8" s="370"/>
      <c r="CG8" s="370"/>
      <c r="CH8" s="370"/>
      <c r="CI8" s="370"/>
      <c r="CJ8" s="370"/>
      <c r="CK8" s="370"/>
      <c r="CL8" s="370"/>
      <c r="CM8" s="370"/>
      <c r="CN8" s="370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</row>
    <row r="9" spans="1:127" ht="15" customHeight="1">
      <c r="A9" s="83"/>
      <c r="B9" s="83"/>
      <c r="C9" s="83"/>
      <c r="D9" s="183" t="str">
        <f>'Proposta de Preços'!D8:AX8</f>
        <v>Obra: Recapeamento de Ruas - 8.121,20m²                       prazo de obra: 30 dias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115"/>
      <c r="CS9" s="115"/>
      <c r="CT9" s="115"/>
      <c r="CU9" s="115"/>
      <c r="CV9" s="115"/>
      <c r="CW9" s="115"/>
      <c r="CX9" s="115"/>
      <c r="CY9" s="115"/>
      <c r="CZ9" s="115"/>
      <c r="DA9" s="115"/>
    </row>
    <row r="10" spans="1:127" ht="15" customHeight="1">
      <c r="A10" s="83"/>
      <c r="B10" s="83"/>
      <c r="C10" s="83"/>
      <c r="D10" s="374" t="str">
        <f>'Proposta de Preços'!D9:CH9</f>
        <v>Locais: Rua Tomaz Jasso, rua Vigato, rua Fracheta e rua Lanzoni</v>
      </c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72"/>
      <c r="CP10" s="72"/>
      <c r="CQ10" s="72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</row>
    <row r="11" spans="1:127" ht="15" customHeight="1">
      <c r="A11" s="83"/>
      <c r="B11" s="83"/>
      <c r="C11" s="8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27" s="82" customFormat="1" ht="15" customHeight="1">
      <c r="A12" s="91"/>
      <c r="B12" s="91"/>
      <c r="C12" s="91"/>
      <c r="D12" s="91" t="s">
        <v>317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375">
        <f>'Proposta de Preços'!R10</f>
        <v>0</v>
      </c>
      <c r="S12" s="375"/>
      <c r="T12" s="375"/>
      <c r="U12" s="375"/>
      <c r="V12" s="375"/>
      <c r="W12" s="247" t="s">
        <v>323</v>
      </c>
      <c r="X12" s="247"/>
      <c r="Y12" s="247"/>
      <c r="Z12" s="247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</row>
    <row r="13" spans="1:127" s="82" customFormat="1" ht="15" customHeight="1">
      <c r="A13" s="91"/>
      <c r="B13" s="91"/>
      <c r="C13" s="91"/>
      <c r="D13" s="91" t="s">
        <v>324</v>
      </c>
      <c r="E13" s="91"/>
      <c r="F13" s="91"/>
      <c r="G13" s="91"/>
      <c r="H13" s="91"/>
      <c r="I13" s="91"/>
      <c r="J13" s="91" t="s">
        <v>344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</row>
    <row r="14" spans="1:127" s="82" customFormat="1" ht="15" customHeight="1">
      <c r="A14" s="91"/>
      <c r="B14" s="91"/>
      <c r="C14" s="91"/>
      <c r="D14" s="91" t="s">
        <v>325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132"/>
      <c r="CT14" s="132"/>
      <c r="CU14" s="91"/>
      <c r="CV14" s="91"/>
      <c r="CW14" s="91"/>
      <c r="CX14" s="91"/>
      <c r="CY14" s="91"/>
      <c r="CZ14" s="91"/>
      <c r="DA14" s="91"/>
    </row>
    <row r="15" spans="1:127" s="82" customFormat="1" ht="15" customHeight="1">
      <c r="A15" s="91"/>
      <c r="B15" s="91"/>
      <c r="C15" s="91"/>
      <c r="D15" s="186" t="s">
        <v>328</v>
      </c>
      <c r="E15" s="186"/>
      <c r="F15" s="186"/>
      <c r="G15" s="186"/>
      <c r="H15" s="186"/>
      <c r="I15" s="186"/>
      <c r="J15" s="186"/>
      <c r="K15" s="186"/>
      <c r="L15" s="372">
        <f>'Proposta de Preços'!L13:BS13</f>
        <v>0</v>
      </c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91"/>
      <c r="CA15" s="247" t="s">
        <v>333</v>
      </c>
      <c r="CB15" s="247"/>
      <c r="CC15" s="247"/>
      <c r="CD15" s="247"/>
      <c r="CE15" s="247"/>
      <c r="CF15" s="372">
        <f>'Proposta de Preços'!BZ13:CJ13</f>
        <v>0</v>
      </c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91"/>
      <c r="CR15" s="91"/>
      <c r="CS15" s="132"/>
      <c r="CT15" s="132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</row>
    <row r="16" spans="1:127" s="82" customFormat="1" ht="15" customHeight="1">
      <c r="A16" s="91"/>
      <c r="B16" s="91"/>
      <c r="C16" s="91"/>
      <c r="D16" s="247" t="s">
        <v>329</v>
      </c>
      <c r="E16" s="247"/>
      <c r="F16" s="247"/>
      <c r="G16" s="247"/>
      <c r="H16" s="247"/>
      <c r="I16" s="247"/>
      <c r="J16" s="400">
        <f>'Proposta de Preços'!J14:BL14</f>
        <v>0</v>
      </c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91"/>
      <c r="BT16" s="186" t="s">
        <v>326</v>
      </c>
      <c r="BU16" s="186"/>
      <c r="BV16" s="186"/>
      <c r="BW16" s="186"/>
      <c r="BX16" s="186"/>
      <c r="BY16" s="186"/>
      <c r="BZ16" s="372">
        <f>'Proposta de Preços'!BT14:CJ14</f>
        <v>0</v>
      </c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91"/>
      <c r="CR16" s="91"/>
      <c r="CS16" s="132"/>
      <c r="CT16" s="132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</row>
    <row r="17" spans="1:127" s="82" customFormat="1" ht="15" customHeight="1">
      <c r="A17" s="91"/>
      <c r="B17" s="91"/>
      <c r="C17" s="91"/>
      <c r="D17" s="247" t="s">
        <v>327</v>
      </c>
      <c r="E17" s="247"/>
      <c r="F17" s="247"/>
      <c r="G17" s="247"/>
      <c r="H17" s="247"/>
      <c r="I17" s="247"/>
      <c r="J17" s="247"/>
      <c r="K17" s="372">
        <f>'Proposta de Preços'!K15:AY15</f>
        <v>0</v>
      </c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91"/>
      <c r="BA17" s="91"/>
      <c r="BB17" s="247" t="s">
        <v>330</v>
      </c>
      <c r="BC17" s="247"/>
      <c r="BD17" s="247"/>
      <c r="BE17" s="372">
        <f>'Proposta de Preços'!BE15:CJ15</f>
        <v>0</v>
      </c>
      <c r="BF17" s="372"/>
      <c r="BG17" s="372"/>
      <c r="BH17" s="372"/>
      <c r="BI17" s="372"/>
      <c r="BJ17" s="372"/>
      <c r="BK17" s="372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</row>
    <row r="18" spans="1:127" s="82" customFormat="1" ht="1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</row>
    <row r="19" spans="1:127" s="82" customFormat="1" ht="15" customHeight="1">
      <c r="A19" s="247" t="s">
        <v>337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372">
        <f>'Proposta de Preços'!M17:BO17</f>
        <v>0</v>
      </c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</row>
    <row r="20" spans="1:127" s="82" customFormat="1" ht="15" customHeight="1">
      <c r="A20" s="247" t="s">
        <v>338</v>
      </c>
      <c r="B20" s="247"/>
      <c r="C20" s="247"/>
      <c r="D20" s="247"/>
      <c r="E20" s="372">
        <f>'Proposta de Preços'!E18:U18</f>
        <v>0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</row>
    <row r="21" spans="1:127" s="82" customFormat="1" ht="15" customHeight="1">
      <c r="A21" s="247" t="s">
        <v>339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373">
        <f>'Proposta de Preços'!N19</f>
        <v>0</v>
      </c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</row>
    <row r="22" spans="1:127" s="82" customFormat="1" ht="15" customHeight="1" thickBo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</row>
    <row r="23" spans="1:127" s="106" customFormat="1" ht="15" customHeight="1" thickBot="1">
      <c r="A23" s="378" t="s">
        <v>0</v>
      </c>
      <c r="B23" s="376"/>
      <c r="C23" s="376"/>
      <c r="D23" s="376"/>
      <c r="E23" s="377"/>
      <c r="F23" s="378" t="s">
        <v>6</v>
      </c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7"/>
      <c r="AE23" s="378" t="s">
        <v>343</v>
      </c>
      <c r="AF23" s="376"/>
      <c r="AG23" s="376"/>
      <c r="AH23" s="376"/>
      <c r="AI23" s="376"/>
      <c r="AJ23" s="376"/>
      <c r="AK23" s="376"/>
      <c r="AL23" s="376"/>
      <c r="AM23" s="376"/>
      <c r="AN23" s="376"/>
      <c r="AO23" s="377"/>
      <c r="AP23" s="376" t="s">
        <v>7</v>
      </c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7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</row>
    <row r="24" spans="1:127" s="106" customFormat="1" ht="15" customHeight="1" thickBot="1">
      <c r="A24" s="379"/>
      <c r="B24" s="380"/>
      <c r="C24" s="380"/>
      <c r="D24" s="380"/>
      <c r="E24" s="381"/>
      <c r="F24" s="379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1"/>
      <c r="AE24" s="379"/>
      <c r="AF24" s="380"/>
      <c r="AG24" s="380"/>
      <c r="AH24" s="380"/>
      <c r="AI24" s="380"/>
      <c r="AJ24" s="380"/>
      <c r="AK24" s="380"/>
      <c r="AL24" s="380"/>
      <c r="AM24" s="380"/>
      <c r="AN24" s="380"/>
      <c r="AO24" s="381"/>
      <c r="AP24" s="419" t="s">
        <v>307</v>
      </c>
      <c r="AQ24" s="419"/>
      <c r="AR24" s="419"/>
      <c r="AS24" s="419"/>
      <c r="AT24" s="419"/>
      <c r="AU24" s="419"/>
      <c r="AV24" s="419"/>
      <c r="AW24" s="419"/>
      <c r="AX24" s="419"/>
      <c r="AY24" s="419"/>
      <c r="AZ24" s="420"/>
      <c r="BA24" s="421" t="s">
        <v>308</v>
      </c>
      <c r="BB24" s="419"/>
      <c r="BC24" s="419"/>
      <c r="BD24" s="419"/>
      <c r="BE24" s="419"/>
      <c r="BF24" s="419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20"/>
      <c r="BR24" s="421" t="s">
        <v>309</v>
      </c>
      <c r="BS24" s="419"/>
      <c r="BT24" s="419"/>
      <c r="BU24" s="419"/>
      <c r="BV24" s="419"/>
      <c r="BW24" s="419"/>
      <c r="BX24" s="419"/>
      <c r="BY24" s="419"/>
      <c r="BZ24" s="419"/>
      <c r="CA24" s="419"/>
      <c r="CB24" s="420"/>
      <c r="CC24" s="421" t="s">
        <v>310</v>
      </c>
      <c r="CD24" s="419"/>
      <c r="CE24" s="419"/>
      <c r="CF24" s="419"/>
      <c r="CG24" s="419"/>
      <c r="CH24" s="419"/>
      <c r="CI24" s="419"/>
      <c r="CJ24" s="419"/>
      <c r="CK24" s="419"/>
      <c r="CL24" s="419"/>
      <c r="CM24" s="420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</row>
    <row r="25" spans="1:127" s="106" customFormat="1" ht="15" customHeight="1">
      <c r="A25" s="410">
        <v>1</v>
      </c>
      <c r="B25" s="411"/>
      <c r="C25" s="411"/>
      <c r="D25" s="411"/>
      <c r="E25" s="411"/>
      <c r="F25" s="398" t="str">
        <f>'Proposta de Preços'!N24</f>
        <v>RECAPEAMENTO</v>
      </c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402">
        <f>'Proposta de Preços'!CK27</f>
        <v>0</v>
      </c>
      <c r="AF25" s="402"/>
      <c r="AG25" s="402"/>
      <c r="AH25" s="402"/>
      <c r="AI25" s="402"/>
      <c r="AJ25" s="402"/>
      <c r="AK25" s="402"/>
      <c r="AL25" s="402"/>
      <c r="AM25" s="402"/>
      <c r="AN25" s="402"/>
      <c r="AO25" s="403"/>
      <c r="AP25" s="414">
        <f>AE25</f>
        <v>0</v>
      </c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61" t="s">
        <v>408</v>
      </c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2"/>
      <c r="BQ25" s="363"/>
      <c r="BR25" s="414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414"/>
      <c r="CD25" s="385"/>
      <c r="CE25" s="385"/>
      <c r="CF25" s="385"/>
      <c r="CG25" s="385"/>
      <c r="CH25" s="385"/>
      <c r="CI25" s="385"/>
      <c r="CJ25" s="385"/>
      <c r="CK25" s="385"/>
      <c r="CL25" s="385"/>
      <c r="CM25" s="386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</row>
    <row r="26" spans="1:127" s="106" customFormat="1" ht="15" customHeight="1">
      <c r="A26" s="412"/>
      <c r="B26" s="413"/>
      <c r="C26" s="413"/>
      <c r="D26" s="413"/>
      <c r="E26" s="413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1"/>
      <c r="AP26" s="415"/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364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6"/>
      <c r="BR26" s="415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5"/>
      <c r="CD26" s="416"/>
      <c r="CE26" s="416"/>
      <c r="CF26" s="416"/>
      <c r="CG26" s="416"/>
      <c r="CH26" s="416"/>
      <c r="CI26" s="416"/>
      <c r="CJ26" s="416"/>
      <c r="CK26" s="416"/>
      <c r="CL26" s="416"/>
      <c r="CM26" s="422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</row>
    <row r="27" spans="1:127" s="106" customFormat="1" ht="15" customHeight="1" thickBot="1">
      <c r="A27" s="412"/>
      <c r="B27" s="413"/>
      <c r="C27" s="413"/>
      <c r="D27" s="413"/>
      <c r="E27" s="413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1"/>
      <c r="AP27" s="417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364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6"/>
      <c r="BR27" s="417"/>
      <c r="BS27" s="418"/>
      <c r="BT27" s="418"/>
      <c r="BU27" s="418"/>
      <c r="BV27" s="418"/>
      <c r="BW27" s="418"/>
      <c r="BX27" s="418"/>
      <c r="BY27" s="418"/>
      <c r="BZ27" s="418"/>
      <c r="CA27" s="418"/>
      <c r="CB27" s="418"/>
      <c r="CC27" s="417"/>
      <c r="CD27" s="418"/>
      <c r="CE27" s="418"/>
      <c r="CF27" s="418"/>
      <c r="CG27" s="418"/>
      <c r="CH27" s="418"/>
      <c r="CI27" s="418"/>
      <c r="CJ27" s="418"/>
      <c r="CK27" s="418"/>
      <c r="CL27" s="418"/>
      <c r="CM27" s="423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</row>
    <row r="28" spans="1:127" s="106" customFormat="1" ht="15" customHeight="1" thickTop="1">
      <c r="A28" s="412">
        <f>A25+1</f>
        <v>2</v>
      </c>
      <c r="B28" s="413"/>
      <c r="C28" s="413"/>
      <c r="D28" s="413"/>
      <c r="E28" s="413"/>
      <c r="F28" s="399" t="str">
        <f>'Proposta de Preços'!N28</f>
        <v>EXECUÇÃO DO RECAPEAMENTO</v>
      </c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0">
        <f>'Proposta de Preços'!CK39</f>
        <v>0</v>
      </c>
      <c r="AF28" s="390"/>
      <c r="AG28" s="390"/>
      <c r="AH28" s="390"/>
      <c r="AI28" s="390"/>
      <c r="AJ28" s="390"/>
      <c r="AK28" s="390"/>
      <c r="AL28" s="390"/>
      <c r="AM28" s="390"/>
      <c r="AN28" s="390"/>
      <c r="AO28" s="391"/>
      <c r="AP28" s="414">
        <f t="shared" ref="AP28" si="0">AE28</f>
        <v>0</v>
      </c>
      <c r="AQ28" s="385"/>
      <c r="AR28" s="385"/>
      <c r="AS28" s="385"/>
      <c r="AT28" s="385"/>
      <c r="AU28" s="385"/>
      <c r="AV28" s="385"/>
      <c r="AW28" s="385"/>
      <c r="AX28" s="385"/>
      <c r="AY28" s="385"/>
      <c r="AZ28" s="385"/>
      <c r="BA28" s="364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6"/>
      <c r="BR28" s="424"/>
      <c r="BS28" s="425"/>
      <c r="BT28" s="425"/>
      <c r="BU28" s="425"/>
      <c r="BV28" s="425"/>
      <c r="BW28" s="425"/>
      <c r="BX28" s="425"/>
      <c r="BY28" s="425"/>
      <c r="BZ28" s="425"/>
      <c r="CA28" s="425"/>
      <c r="CB28" s="427"/>
      <c r="CC28" s="415"/>
      <c r="CD28" s="416"/>
      <c r="CE28" s="416"/>
      <c r="CF28" s="416"/>
      <c r="CG28" s="416"/>
      <c r="CH28" s="416"/>
      <c r="CI28" s="416"/>
      <c r="CJ28" s="416"/>
      <c r="CK28" s="416"/>
      <c r="CL28" s="416"/>
      <c r="CM28" s="422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</row>
    <row r="29" spans="1:127" s="106" customFormat="1" ht="15" customHeight="1">
      <c r="A29" s="412"/>
      <c r="B29" s="413"/>
      <c r="C29" s="413"/>
      <c r="D29" s="413"/>
      <c r="E29" s="413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1"/>
      <c r="AP29" s="415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364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6"/>
      <c r="BR29" s="415"/>
      <c r="BS29" s="416"/>
      <c r="BT29" s="416"/>
      <c r="BU29" s="416"/>
      <c r="BV29" s="416"/>
      <c r="BW29" s="416"/>
      <c r="BX29" s="416"/>
      <c r="BY29" s="416"/>
      <c r="BZ29" s="416"/>
      <c r="CA29" s="416"/>
      <c r="CB29" s="428"/>
      <c r="CC29" s="415"/>
      <c r="CD29" s="416"/>
      <c r="CE29" s="416"/>
      <c r="CF29" s="416"/>
      <c r="CG29" s="416"/>
      <c r="CH29" s="416"/>
      <c r="CI29" s="416"/>
      <c r="CJ29" s="416"/>
      <c r="CK29" s="416"/>
      <c r="CL29" s="416"/>
      <c r="CM29" s="422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</row>
    <row r="30" spans="1:127" s="106" customFormat="1" ht="15" customHeight="1" thickBot="1">
      <c r="A30" s="412"/>
      <c r="B30" s="413"/>
      <c r="C30" s="413"/>
      <c r="D30" s="413"/>
      <c r="E30" s="413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1"/>
      <c r="AP30" s="417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364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6"/>
      <c r="BR30" s="417"/>
      <c r="BS30" s="418"/>
      <c r="BT30" s="418"/>
      <c r="BU30" s="418"/>
      <c r="BV30" s="418"/>
      <c r="BW30" s="418"/>
      <c r="BX30" s="418"/>
      <c r="BY30" s="418"/>
      <c r="BZ30" s="418"/>
      <c r="CA30" s="418"/>
      <c r="CB30" s="429"/>
      <c r="CC30" s="417"/>
      <c r="CD30" s="418"/>
      <c r="CE30" s="418"/>
      <c r="CF30" s="418"/>
      <c r="CG30" s="418"/>
      <c r="CH30" s="418"/>
      <c r="CI30" s="418"/>
      <c r="CJ30" s="418"/>
      <c r="CK30" s="418"/>
      <c r="CL30" s="418"/>
      <c r="CM30" s="423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</row>
    <row r="31" spans="1:127" s="106" customFormat="1" ht="15" customHeight="1" thickTop="1">
      <c r="A31" s="412">
        <f>A28+1</f>
        <v>3</v>
      </c>
      <c r="B31" s="413"/>
      <c r="C31" s="413"/>
      <c r="D31" s="413"/>
      <c r="E31" s="413"/>
      <c r="F31" s="399" t="str">
        <f>'Proposta de Preços'!N40</f>
        <v>SINALIZAÇÃO VIÁRIA</v>
      </c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0">
        <f>'Proposta de Preços'!CK47</f>
        <v>0</v>
      </c>
      <c r="AF31" s="390"/>
      <c r="AG31" s="390"/>
      <c r="AH31" s="390"/>
      <c r="AI31" s="390"/>
      <c r="AJ31" s="390"/>
      <c r="AK31" s="390"/>
      <c r="AL31" s="390"/>
      <c r="AM31" s="390"/>
      <c r="AN31" s="390"/>
      <c r="AO31" s="391"/>
      <c r="AP31" s="414">
        <f t="shared" ref="AP31" si="1">AE31</f>
        <v>0</v>
      </c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64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6"/>
      <c r="BR31" s="424"/>
      <c r="BS31" s="425"/>
      <c r="BT31" s="425"/>
      <c r="BU31" s="425"/>
      <c r="BV31" s="425"/>
      <c r="BW31" s="425"/>
      <c r="BX31" s="425"/>
      <c r="BY31" s="425"/>
      <c r="BZ31" s="425"/>
      <c r="CA31" s="425"/>
      <c r="CB31" s="427"/>
      <c r="CC31" s="424"/>
      <c r="CD31" s="425"/>
      <c r="CE31" s="425"/>
      <c r="CF31" s="425"/>
      <c r="CG31" s="425"/>
      <c r="CH31" s="425"/>
      <c r="CI31" s="425"/>
      <c r="CJ31" s="425"/>
      <c r="CK31" s="425"/>
      <c r="CL31" s="425"/>
      <c r="CM31" s="426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</row>
    <row r="32" spans="1:127" s="106" customFormat="1" ht="15" customHeight="1">
      <c r="A32" s="412"/>
      <c r="B32" s="413"/>
      <c r="C32" s="413"/>
      <c r="D32" s="413"/>
      <c r="E32" s="413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1"/>
      <c r="AP32" s="415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364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6"/>
      <c r="BR32" s="415"/>
      <c r="BS32" s="416"/>
      <c r="BT32" s="416"/>
      <c r="BU32" s="416"/>
      <c r="BV32" s="416"/>
      <c r="BW32" s="416"/>
      <c r="BX32" s="416"/>
      <c r="BY32" s="416"/>
      <c r="BZ32" s="416"/>
      <c r="CA32" s="416"/>
      <c r="CB32" s="428"/>
      <c r="CC32" s="415"/>
      <c r="CD32" s="416"/>
      <c r="CE32" s="416"/>
      <c r="CF32" s="416"/>
      <c r="CG32" s="416"/>
      <c r="CH32" s="416"/>
      <c r="CI32" s="416"/>
      <c r="CJ32" s="416"/>
      <c r="CK32" s="416"/>
      <c r="CL32" s="416"/>
      <c r="CM32" s="422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</row>
    <row r="33" spans="1:107" s="106" customFormat="1" ht="15" customHeight="1" thickBot="1">
      <c r="A33" s="412"/>
      <c r="B33" s="413"/>
      <c r="C33" s="413"/>
      <c r="D33" s="413"/>
      <c r="E33" s="413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1"/>
      <c r="AP33" s="417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367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9"/>
      <c r="BR33" s="417"/>
      <c r="BS33" s="418"/>
      <c r="BT33" s="418"/>
      <c r="BU33" s="418"/>
      <c r="BV33" s="418"/>
      <c r="BW33" s="418"/>
      <c r="BX33" s="418"/>
      <c r="BY33" s="418"/>
      <c r="BZ33" s="418"/>
      <c r="CA33" s="418"/>
      <c r="CB33" s="429"/>
      <c r="CC33" s="417"/>
      <c r="CD33" s="418"/>
      <c r="CE33" s="418"/>
      <c r="CF33" s="418"/>
      <c r="CG33" s="418"/>
      <c r="CH33" s="418"/>
      <c r="CI33" s="418"/>
      <c r="CJ33" s="418"/>
      <c r="CK33" s="418"/>
      <c r="CL33" s="418"/>
      <c r="CM33" s="423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</row>
    <row r="34" spans="1:107" s="106" customFormat="1" ht="15" customHeight="1" thickTop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8"/>
      <c r="O34" s="108"/>
      <c r="P34" s="108"/>
      <c r="Q34" s="108"/>
      <c r="R34" s="108"/>
      <c r="S34" s="108"/>
      <c r="T34" s="108"/>
      <c r="U34" s="392" t="s">
        <v>312</v>
      </c>
      <c r="V34" s="393"/>
      <c r="W34" s="393"/>
      <c r="X34" s="393"/>
      <c r="Y34" s="393"/>
      <c r="Z34" s="393"/>
      <c r="AA34" s="393"/>
      <c r="AB34" s="393"/>
      <c r="AC34" s="393"/>
      <c r="AD34" s="394"/>
      <c r="AE34" s="384">
        <f>SUM(AE25:AO33)</f>
        <v>0</v>
      </c>
      <c r="AF34" s="385"/>
      <c r="AG34" s="385"/>
      <c r="AH34" s="385"/>
      <c r="AI34" s="385"/>
      <c r="AJ34" s="385"/>
      <c r="AK34" s="385"/>
      <c r="AL34" s="385"/>
      <c r="AM34" s="385"/>
      <c r="AN34" s="385"/>
      <c r="AO34" s="386"/>
      <c r="AP34" s="404">
        <f>AP25+AP28+AP31</f>
        <v>0</v>
      </c>
      <c r="AQ34" s="405"/>
      <c r="AR34" s="405"/>
      <c r="AS34" s="405"/>
      <c r="AT34" s="405"/>
      <c r="AU34" s="405"/>
      <c r="AV34" s="405"/>
      <c r="AW34" s="405"/>
      <c r="AX34" s="405"/>
      <c r="AY34" s="405"/>
      <c r="AZ34" s="406"/>
      <c r="BA34" s="404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6"/>
      <c r="BR34" s="404">
        <f>SUM(BR25:CB33)</f>
        <v>0</v>
      </c>
      <c r="BS34" s="405"/>
      <c r="BT34" s="405"/>
      <c r="BU34" s="405"/>
      <c r="BV34" s="405"/>
      <c r="BW34" s="405"/>
      <c r="BX34" s="405"/>
      <c r="BY34" s="405"/>
      <c r="BZ34" s="405"/>
      <c r="CA34" s="405"/>
      <c r="CB34" s="406"/>
      <c r="CC34" s="404">
        <f>SUM(CC25:CM33)</f>
        <v>0</v>
      </c>
      <c r="CD34" s="405"/>
      <c r="CE34" s="405"/>
      <c r="CF34" s="405"/>
      <c r="CG34" s="405"/>
      <c r="CH34" s="405"/>
      <c r="CI34" s="405"/>
      <c r="CJ34" s="405"/>
      <c r="CK34" s="405"/>
      <c r="CL34" s="405"/>
      <c r="CM34" s="406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</row>
    <row r="35" spans="1:107" s="106" customFormat="1" ht="15" customHeight="1" thickBo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/>
      <c r="O35" s="112"/>
      <c r="P35" s="112"/>
      <c r="Q35" s="112"/>
      <c r="R35" s="112"/>
      <c r="S35" s="112"/>
      <c r="T35" s="112"/>
      <c r="U35" s="395"/>
      <c r="V35" s="396"/>
      <c r="W35" s="396"/>
      <c r="X35" s="396"/>
      <c r="Y35" s="396"/>
      <c r="Z35" s="396"/>
      <c r="AA35" s="396"/>
      <c r="AB35" s="396"/>
      <c r="AC35" s="396"/>
      <c r="AD35" s="397"/>
      <c r="AE35" s="387"/>
      <c r="AF35" s="388"/>
      <c r="AG35" s="388"/>
      <c r="AH35" s="388"/>
      <c r="AI35" s="388"/>
      <c r="AJ35" s="388"/>
      <c r="AK35" s="388"/>
      <c r="AL35" s="388"/>
      <c r="AM35" s="388"/>
      <c r="AN35" s="388"/>
      <c r="AO35" s="389"/>
      <c r="AP35" s="407"/>
      <c r="AQ35" s="408"/>
      <c r="AR35" s="408"/>
      <c r="AS35" s="408"/>
      <c r="AT35" s="408"/>
      <c r="AU35" s="408"/>
      <c r="AV35" s="408"/>
      <c r="AW35" s="408"/>
      <c r="AX35" s="408"/>
      <c r="AY35" s="408"/>
      <c r="AZ35" s="409"/>
      <c r="BA35" s="407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/>
      <c r="BP35" s="408"/>
      <c r="BQ35" s="409"/>
      <c r="BR35" s="407"/>
      <c r="BS35" s="408"/>
      <c r="BT35" s="408"/>
      <c r="BU35" s="408"/>
      <c r="BV35" s="408"/>
      <c r="BW35" s="408"/>
      <c r="BX35" s="408"/>
      <c r="BY35" s="408"/>
      <c r="BZ35" s="408"/>
      <c r="CA35" s="408"/>
      <c r="CB35" s="409"/>
      <c r="CC35" s="407"/>
      <c r="CD35" s="408"/>
      <c r="CE35" s="408"/>
      <c r="CF35" s="408"/>
      <c r="CG35" s="408"/>
      <c r="CH35" s="408"/>
      <c r="CI35" s="408"/>
      <c r="CJ35" s="408"/>
      <c r="CK35" s="408"/>
      <c r="CL35" s="408"/>
      <c r="CM35" s="409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</row>
    <row r="36" spans="1:107" s="106" customFormat="1" ht="1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</row>
    <row r="37" spans="1:107" s="119" customFormat="1" ht="1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16"/>
      <c r="BW37" s="382" t="s">
        <v>342</v>
      </c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3">
        <f>'Proposta de Preços'!CB51</f>
        <v>0</v>
      </c>
      <c r="CI37" s="383"/>
      <c r="CJ37" s="383"/>
      <c r="CK37" s="383"/>
      <c r="CL37" s="383"/>
      <c r="CM37" s="383"/>
      <c r="CN37" s="97"/>
      <c r="CO37" s="97"/>
      <c r="CP37" s="97"/>
      <c r="CQ37" s="97"/>
      <c r="CR37" s="97"/>
      <c r="CS37" s="97"/>
      <c r="CT37" s="97"/>
      <c r="CU37" s="97"/>
      <c r="CV37" s="117"/>
      <c r="CW37" s="117"/>
      <c r="CX37" s="117"/>
      <c r="CY37" s="117"/>
      <c r="CZ37" s="117"/>
      <c r="DA37" s="117"/>
      <c r="DB37" s="118"/>
      <c r="DC37" s="118"/>
    </row>
    <row r="38" spans="1:107" s="119" customFormat="1" ht="1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16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102"/>
      <c r="CI38" s="102"/>
      <c r="CJ38" s="102"/>
      <c r="CK38" s="102"/>
      <c r="CL38" s="97"/>
      <c r="CM38" s="97"/>
      <c r="CN38" s="9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8"/>
      <c r="DC38" s="118"/>
    </row>
    <row r="39" spans="1:107" s="82" customFormat="1" ht="1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</row>
    <row r="40" spans="1:107" s="82" customFormat="1" ht="15" customHeight="1">
      <c r="A40" s="91"/>
      <c r="B40" s="91"/>
      <c r="C40" s="91"/>
      <c r="D40" s="91" t="s">
        <v>334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</row>
    <row r="41" spans="1:107" s="82" customFormat="1" ht="15" customHeight="1">
      <c r="A41" s="91"/>
      <c r="B41" s="91"/>
      <c r="C41" s="91"/>
      <c r="D41" s="91" t="s">
        <v>331</v>
      </c>
      <c r="E41" s="91"/>
      <c r="F41" s="91"/>
      <c r="G41" s="91"/>
      <c r="H41" s="372">
        <f>'Proposta de Preços'!H56</f>
        <v>0</v>
      </c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91"/>
      <c r="AV41" s="91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</row>
    <row r="42" spans="1:107" s="82" customFormat="1" ht="15" customHeight="1">
      <c r="A42" s="91"/>
      <c r="B42" s="91"/>
      <c r="C42" s="91"/>
      <c r="D42" s="91" t="s">
        <v>332</v>
      </c>
      <c r="E42" s="91"/>
      <c r="F42" s="91"/>
      <c r="G42" s="91"/>
      <c r="H42" s="91"/>
      <c r="I42" s="91"/>
      <c r="J42" s="372">
        <f>'Proposta de Preços'!J57</f>
        <v>0</v>
      </c>
      <c r="K42" s="372"/>
      <c r="L42" s="372"/>
      <c r="M42" s="372"/>
      <c r="N42" s="372"/>
      <c r="O42" s="372"/>
      <c r="P42" s="372"/>
      <c r="Q42" s="372"/>
      <c r="R42" s="372"/>
      <c r="S42" s="372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186" t="s">
        <v>335</v>
      </c>
      <c r="AX42" s="186"/>
      <c r="AY42" s="186"/>
      <c r="AZ42" s="186"/>
      <c r="BA42" s="186"/>
      <c r="BB42" s="186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</row>
  </sheetData>
  <sheetProtection password="CB75" sheet="1" objects="1" scenarios="1" selectLockedCells="1" selectUnlockedCells="1"/>
  <protectedRanges>
    <protectedRange sqref="R12 L15 CF15 J16 BZ16 K17 BE17:BK17 H41 N39 J42 E20 N34:N36 P37 CH37:CH38 M19 N21:N22 L23:L33" name="Dados_1"/>
  </protectedRanges>
  <mergeCells count="62">
    <mergeCell ref="BR34:CB35"/>
    <mergeCell ref="CC24:CM24"/>
    <mergeCell ref="CC25:CM27"/>
    <mergeCell ref="CC28:CM30"/>
    <mergeCell ref="CC31:CM33"/>
    <mergeCell ref="CC34:CM35"/>
    <mergeCell ref="BR24:CB24"/>
    <mergeCell ref="BR25:CB27"/>
    <mergeCell ref="BR28:CB30"/>
    <mergeCell ref="BR31:CB33"/>
    <mergeCell ref="BA34:BQ35"/>
    <mergeCell ref="AP28:AZ30"/>
    <mergeCell ref="AP25:AZ27"/>
    <mergeCell ref="AP31:AZ33"/>
    <mergeCell ref="AP24:AZ24"/>
    <mergeCell ref="BA24:BQ24"/>
    <mergeCell ref="AP34:AZ35"/>
    <mergeCell ref="A23:E24"/>
    <mergeCell ref="A25:E27"/>
    <mergeCell ref="A28:E30"/>
    <mergeCell ref="A31:E33"/>
    <mergeCell ref="AE34:AO35"/>
    <mergeCell ref="AE23:AO24"/>
    <mergeCell ref="AE28:AO30"/>
    <mergeCell ref="AE31:AO33"/>
    <mergeCell ref="U34:AD35"/>
    <mergeCell ref="F25:AD27"/>
    <mergeCell ref="F28:AD30"/>
    <mergeCell ref="F31:AD33"/>
    <mergeCell ref="AE25:AO27"/>
    <mergeCell ref="AW42:BB42"/>
    <mergeCell ref="BW37:CG37"/>
    <mergeCell ref="CH37:CM37"/>
    <mergeCell ref="H41:AT41"/>
    <mergeCell ref="J42:S42"/>
    <mergeCell ref="BB17:BD17"/>
    <mergeCell ref="BT16:BY16"/>
    <mergeCell ref="BZ16:CP16"/>
    <mergeCell ref="AP23:CM23"/>
    <mergeCell ref="F23:AD24"/>
    <mergeCell ref="J16:BR16"/>
    <mergeCell ref="D16:I16"/>
    <mergeCell ref="A21:M21"/>
    <mergeCell ref="N21:X21"/>
    <mergeCell ref="D17:J17"/>
    <mergeCell ref="K17:AY17"/>
    <mergeCell ref="D9:BA9"/>
    <mergeCell ref="BA25:BQ33"/>
    <mergeCell ref="BZ8:CN8"/>
    <mergeCell ref="A6:CP7"/>
    <mergeCell ref="M19:BU19"/>
    <mergeCell ref="E20:U20"/>
    <mergeCell ref="A19:L19"/>
    <mergeCell ref="A20:D20"/>
    <mergeCell ref="BE17:CP17"/>
    <mergeCell ref="D10:CN10"/>
    <mergeCell ref="R12:V12"/>
    <mergeCell ref="W12:Z12"/>
    <mergeCell ref="D15:K15"/>
    <mergeCell ref="L15:BY15"/>
    <mergeCell ref="CA15:CE15"/>
    <mergeCell ref="CF15:CP15"/>
  </mergeCells>
  <printOptions horizontalCentered="1"/>
  <pageMargins left="0.59055118110236227" right="0.59055118110236227" top="1.3779527559055118" bottom="0.59055118110236227" header="0.39370078740157483" footer="0.31496062992125984"/>
  <pageSetup paperSize="9" scale="61" orientation="landscape" horizontalDpi="4294967293" verticalDpi="4294967293" r:id="rId1"/>
  <drawing r:id="rId2"/>
  <legacyDrawing r:id="rId3"/>
  <oleObjects>
    <oleObject progId="Documento do Microsoft Office Word" shapeId="512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U36"/>
  <sheetViews>
    <sheetView showGridLines="0" tabSelected="1" view="pageBreakPreview" topLeftCell="A3" zoomScale="90" zoomScaleSheetLayoutView="90" workbookViewId="0">
      <selection activeCell="J32" sqref="J32"/>
    </sheetView>
  </sheetViews>
  <sheetFormatPr defaultRowHeight="15"/>
  <cols>
    <col min="1" max="50" width="3.7109375" style="169" customWidth="1"/>
    <col min="51" max="51" width="56.42578125" style="169" customWidth="1"/>
    <col min="52" max="52" width="9.140625" style="169"/>
    <col min="53" max="53" width="13.5703125" style="170" customWidth="1"/>
    <col min="54" max="54" width="14.85546875" style="169" customWidth="1"/>
    <col min="55" max="55" width="16.42578125" style="169" customWidth="1"/>
    <col min="56" max="56" width="11.85546875" style="169" bestFit="1" customWidth="1"/>
    <col min="57" max="16384" width="9.140625" style="169"/>
  </cols>
  <sheetData>
    <row r="1" spans="1:99" s="146" customFormat="1" ht="14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2"/>
      <c r="AZ1" s="143"/>
      <c r="BA1" s="142"/>
      <c r="BB1" s="144"/>
      <c r="BC1" s="144"/>
      <c r="BD1" s="144"/>
      <c r="BE1" s="145"/>
    </row>
    <row r="2" spans="1:99" s="146" customFormat="1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2"/>
      <c r="AZ2" s="143"/>
      <c r="BA2" s="142"/>
      <c r="BB2" s="144"/>
      <c r="BC2" s="144"/>
      <c r="BD2" s="144"/>
      <c r="BE2" s="145"/>
    </row>
    <row r="3" spans="1:99" s="146" customFormat="1" ht="14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8"/>
      <c r="AZ3" s="149"/>
      <c r="BA3" s="148"/>
      <c r="BB3" s="150"/>
      <c r="BC3" s="150"/>
      <c r="BD3" s="150"/>
      <c r="BE3" s="145"/>
    </row>
    <row r="4" spans="1:99" s="146" customFormat="1" ht="14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8"/>
      <c r="AZ4" s="149"/>
      <c r="BA4" s="148"/>
      <c r="BB4" s="150"/>
      <c r="BC4" s="150"/>
      <c r="BD4" s="150"/>
      <c r="BE4" s="145"/>
    </row>
    <row r="5" spans="1:99" s="146" customFormat="1" ht="14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8"/>
      <c r="AZ5" s="149"/>
      <c r="BA5" s="148"/>
      <c r="BB5" s="150"/>
      <c r="BC5" s="150"/>
      <c r="BD5" s="150"/>
      <c r="BE5" s="145"/>
    </row>
    <row r="6" spans="1:99" s="146" customFormat="1" ht="14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8"/>
      <c r="AZ6" s="149"/>
      <c r="BA6" s="148"/>
      <c r="BB6" s="150"/>
      <c r="BC6" s="150"/>
      <c r="BD6" s="150"/>
      <c r="BE6" s="145"/>
    </row>
    <row r="7" spans="1:99" s="148" customFormat="1" ht="21" customHeight="1">
      <c r="A7" s="496" t="s">
        <v>409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72"/>
      <c r="BE7" s="145"/>
    </row>
    <row r="8" spans="1:99" s="146" customFormat="1" ht="15" customHeight="1" thickBo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</row>
    <row r="9" spans="1:99" s="148" customFormat="1" ht="21" customHeight="1" thickBot="1">
      <c r="A9" s="493" t="s">
        <v>376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5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72"/>
      <c r="BE9" s="145"/>
    </row>
    <row r="10" spans="1:99" s="146" customFormat="1" ht="16.5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72"/>
      <c r="BE10" s="145"/>
    </row>
    <row r="11" spans="1:99" s="146" customFormat="1" ht="16.5" thickBo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484" t="s">
        <v>377</v>
      </c>
      <c r="AA11" s="485"/>
      <c r="AB11" s="485"/>
      <c r="AC11" s="485"/>
      <c r="AD11" s="485"/>
      <c r="AE11" s="485"/>
      <c r="AF11" s="485"/>
      <c r="AG11" s="485"/>
      <c r="AH11" s="486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72"/>
      <c r="BE11" s="145"/>
    </row>
    <row r="12" spans="1:99" s="146" customFormat="1" ht="16.5" thickBot="1">
      <c r="A12" s="487" t="s">
        <v>0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9"/>
      <c r="R12" s="487" t="s">
        <v>378</v>
      </c>
      <c r="S12" s="488"/>
      <c r="T12" s="489"/>
      <c r="U12" s="487" t="s">
        <v>379</v>
      </c>
      <c r="V12" s="488"/>
      <c r="W12" s="488"/>
      <c r="X12" s="489"/>
      <c r="Y12" s="141"/>
      <c r="Z12" s="490" t="s">
        <v>380</v>
      </c>
      <c r="AA12" s="491"/>
      <c r="AB12" s="491"/>
      <c r="AC12" s="492"/>
      <c r="AD12" s="148"/>
      <c r="AE12" s="490" t="s">
        <v>381</v>
      </c>
      <c r="AF12" s="491"/>
      <c r="AG12" s="491"/>
      <c r="AH12" s="492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72"/>
      <c r="BE12" s="145"/>
    </row>
    <row r="13" spans="1:99" s="146" customFormat="1" ht="15.75">
      <c r="A13" s="152" t="s">
        <v>382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4"/>
      <c r="M13" s="154"/>
      <c r="N13" s="154"/>
      <c r="O13" s="154"/>
      <c r="P13" s="154"/>
      <c r="Q13" s="155"/>
      <c r="R13" s="477" t="s">
        <v>383</v>
      </c>
      <c r="S13" s="478"/>
      <c r="T13" s="479"/>
      <c r="U13" s="480"/>
      <c r="V13" s="480"/>
      <c r="W13" s="480"/>
      <c r="X13" s="480"/>
      <c r="Y13" s="141"/>
      <c r="Z13" s="481">
        <v>3.7999999999999999E-2</v>
      </c>
      <c r="AA13" s="482"/>
      <c r="AB13" s="482"/>
      <c r="AC13" s="482"/>
      <c r="AD13" s="148"/>
      <c r="AE13" s="482">
        <v>4.6699999999999998E-2</v>
      </c>
      <c r="AF13" s="482"/>
      <c r="AG13" s="482"/>
      <c r="AH13" s="483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72"/>
      <c r="AX13" s="145"/>
    </row>
    <row r="14" spans="1:99" s="146" customFormat="1" ht="15.75">
      <c r="A14" s="156" t="s">
        <v>384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8"/>
      <c r="M14" s="158"/>
      <c r="N14" s="158"/>
      <c r="O14" s="158"/>
      <c r="P14" s="158"/>
      <c r="Q14" s="159"/>
      <c r="R14" s="447" t="s">
        <v>385</v>
      </c>
      <c r="S14" s="448"/>
      <c r="T14" s="449"/>
      <c r="U14" s="450"/>
      <c r="V14" s="450"/>
      <c r="W14" s="450"/>
      <c r="X14" s="450"/>
      <c r="Y14" s="141"/>
      <c r="Z14" s="451">
        <v>3.2000000000000002E-3</v>
      </c>
      <c r="AA14" s="435"/>
      <c r="AB14" s="435"/>
      <c r="AC14" s="435"/>
      <c r="AD14" s="148"/>
      <c r="AE14" s="435">
        <v>7.4000000000000003E-3</v>
      </c>
      <c r="AF14" s="435"/>
      <c r="AG14" s="435"/>
      <c r="AH14" s="452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72"/>
      <c r="AX14" s="145"/>
    </row>
    <row r="15" spans="1:99" s="146" customFormat="1" ht="15.75">
      <c r="A15" s="156" t="s">
        <v>386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  <c r="M15" s="158"/>
      <c r="N15" s="158"/>
      <c r="O15" s="158"/>
      <c r="P15" s="158"/>
      <c r="Q15" s="159"/>
      <c r="R15" s="447" t="s">
        <v>387</v>
      </c>
      <c r="S15" s="448"/>
      <c r="T15" s="449"/>
      <c r="U15" s="450"/>
      <c r="V15" s="450"/>
      <c r="W15" s="450"/>
      <c r="X15" s="450"/>
      <c r="Y15" s="141"/>
      <c r="Z15" s="451">
        <v>5.0000000000000001E-3</v>
      </c>
      <c r="AA15" s="435"/>
      <c r="AB15" s="435"/>
      <c r="AC15" s="435"/>
      <c r="AD15" s="148"/>
      <c r="AE15" s="435">
        <v>9.7000000000000003E-3</v>
      </c>
      <c r="AF15" s="435"/>
      <c r="AG15" s="435"/>
      <c r="AH15" s="452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72"/>
      <c r="AX15" s="145"/>
    </row>
    <row r="16" spans="1:99" s="146" customFormat="1" ht="15.75">
      <c r="A16" s="156" t="s">
        <v>388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  <c r="M16" s="158"/>
      <c r="N16" s="158"/>
      <c r="O16" s="158"/>
      <c r="P16" s="158"/>
      <c r="Q16" s="159"/>
      <c r="R16" s="447" t="s">
        <v>389</v>
      </c>
      <c r="S16" s="448"/>
      <c r="T16" s="449"/>
      <c r="U16" s="450"/>
      <c r="V16" s="450"/>
      <c r="W16" s="450"/>
      <c r="X16" s="450"/>
      <c r="Y16" s="141"/>
      <c r="Z16" s="451">
        <v>1.0200000000000001E-2</v>
      </c>
      <c r="AA16" s="435"/>
      <c r="AB16" s="435"/>
      <c r="AC16" s="435"/>
      <c r="AD16" s="148"/>
      <c r="AE16" s="435">
        <v>1.21E-2</v>
      </c>
      <c r="AF16" s="435"/>
      <c r="AG16" s="435"/>
      <c r="AH16" s="452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72"/>
      <c r="AX16" s="145"/>
    </row>
    <row r="17" spans="1:53" s="146" customFormat="1" ht="15.75">
      <c r="A17" s="156" t="s">
        <v>390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8"/>
      <c r="M17" s="158"/>
      <c r="N17" s="158"/>
      <c r="O17" s="158"/>
      <c r="P17" s="158"/>
      <c r="Q17" s="159"/>
      <c r="R17" s="447" t="s">
        <v>391</v>
      </c>
      <c r="S17" s="448"/>
      <c r="T17" s="449"/>
      <c r="U17" s="450"/>
      <c r="V17" s="450"/>
      <c r="W17" s="450"/>
      <c r="X17" s="450"/>
      <c r="Y17" s="141"/>
      <c r="Z17" s="451">
        <v>6.6400000000000001E-2</v>
      </c>
      <c r="AA17" s="435"/>
      <c r="AB17" s="435"/>
      <c r="AC17" s="435"/>
      <c r="AD17" s="148"/>
      <c r="AE17" s="435">
        <v>8.6900000000000005E-2</v>
      </c>
      <c r="AF17" s="435"/>
      <c r="AG17" s="435"/>
      <c r="AH17" s="452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72"/>
      <c r="AX17" s="145"/>
    </row>
    <row r="18" spans="1:53" s="146" customFormat="1" ht="15.75">
      <c r="A18" s="453" t="s">
        <v>392</v>
      </c>
      <c r="B18" s="454"/>
      <c r="C18" s="454"/>
      <c r="D18" s="454"/>
      <c r="E18" s="454"/>
      <c r="F18" s="454"/>
      <c r="G18" s="455"/>
      <c r="H18" s="156" t="s">
        <v>393</v>
      </c>
      <c r="I18" s="160"/>
      <c r="J18" s="160"/>
      <c r="K18" s="160"/>
      <c r="L18" s="161"/>
      <c r="M18" s="161"/>
      <c r="N18" s="161"/>
      <c r="O18" s="161"/>
      <c r="P18" s="161"/>
      <c r="Q18" s="162"/>
      <c r="R18" s="462" t="s">
        <v>394</v>
      </c>
      <c r="S18" s="463"/>
      <c r="T18" s="464"/>
      <c r="U18" s="450"/>
      <c r="V18" s="450"/>
      <c r="W18" s="450"/>
      <c r="X18" s="450"/>
      <c r="Y18" s="163"/>
      <c r="Z18" s="471" t="s">
        <v>395</v>
      </c>
      <c r="AA18" s="472"/>
      <c r="AB18" s="472"/>
      <c r="AC18" s="472"/>
      <c r="AD18" s="148"/>
      <c r="AE18" s="472" t="s">
        <v>395</v>
      </c>
      <c r="AF18" s="472"/>
      <c r="AG18" s="472"/>
      <c r="AH18" s="475"/>
      <c r="AI18" s="163"/>
      <c r="AJ18" s="163"/>
      <c r="AK18" s="163"/>
      <c r="AL18" s="163"/>
      <c r="AM18" s="163"/>
      <c r="AN18" s="163"/>
      <c r="AO18" s="163"/>
      <c r="AP18" s="163"/>
      <c r="AQ18" s="163"/>
      <c r="AR18" s="141"/>
      <c r="AS18" s="141"/>
      <c r="AT18" s="141"/>
      <c r="AU18" s="141"/>
      <c r="AV18" s="141"/>
      <c r="AW18" s="72"/>
      <c r="AX18" s="145"/>
    </row>
    <row r="19" spans="1:53" s="146" customFormat="1" ht="15.75">
      <c r="A19" s="456"/>
      <c r="B19" s="457"/>
      <c r="C19" s="457"/>
      <c r="D19" s="457"/>
      <c r="E19" s="457"/>
      <c r="F19" s="457"/>
      <c r="G19" s="458"/>
      <c r="H19" s="156" t="s">
        <v>396</v>
      </c>
      <c r="I19" s="160"/>
      <c r="J19" s="160"/>
      <c r="K19" s="160"/>
      <c r="L19" s="161"/>
      <c r="M19" s="161"/>
      <c r="N19" s="161"/>
      <c r="O19" s="161"/>
      <c r="P19" s="161"/>
      <c r="Q19" s="162"/>
      <c r="R19" s="465"/>
      <c r="S19" s="466"/>
      <c r="T19" s="467"/>
      <c r="U19" s="450"/>
      <c r="V19" s="450"/>
      <c r="W19" s="450"/>
      <c r="X19" s="450"/>
      <c r="Y19" s="163"/>
      <c r="Z19" s="471"/>
      <c r="AA19" s="472"/>
      <c r="AB19" s="472"/>
      <c r="AC19" s="472"/>
      <c r="AD19" s="164"/>
      <c r="AE19" s="472"/>
      <c r="AF19" s="472"/>
      <c r="AG19" s="472"/>
      <c r="AH19" s="475"/>
      <c r="AI19" s="163"/>
      <c r="AJ19" s="163"/>
      <c r="AK19" s="163"/>
      <c r="AL19" s="163"/>
      <c r="AM19" s="163"/>
      <c r="AN19" s="163"/>
      <c r="AO19" s="163"/>
      <c r="AP19" s="163"/>
      <c r="AQ19" s="163"/>
      <c r="AR19" s="141"/>
      <c r="AS19" s="141"/>
      <c r="AT19" s="141"/>
      <c r="AU19" s="141"/>
      <c r="AV19" s="141"/>
      <c r="AW19" s="72"/>
      <c r="AX19" s="145"/>
    </row>
    <row r="20" spans="1:53" s="146" customFormat="1" ht="15.75">
      <c r="A20" s="456"/>
      <c r="B20" s="457"/>
      <c r="C20" s="457"/>
      <c r="D20" s="457"/>
      <c r="E20" s="457"/>
      <c r="F20" s="457"/>
      <c r="G20" s="458"/>
      <c r="H20" s="156" t="s">
        <v>397</v>
      </c>
      <c r="I20" s="160"/>
      <c r="J20" s="160"/>
      <c r="K20" s="160"/>
      <c r="L20" s="161"/>
      <c r="M20" s="161"/>
      <c r="N20" s="161"/>
      <c r="O20" s="161"/>
      <c r="P20" s="161"/>
      <c r="Q20" s="162"/>
      <c r="R20" s="465"/>
      <c r="S20" s="466"/>
      <c r="T20" s="467"/>
      <c r="U20" s="435">
        <v>0.02</v>
      </c>
      <c r="V20" s="435"/>
      <c r="W20" s="435"/>
      <c r="X20" s="435"/>
      <c r="Y20" s="163"/>
      <c r="Z20" s="471"/>
      <c r="AA20" s="472"/>
      <c r="AB20" s="472"/>
      <c r="AC20" s="472"/>
      <c r="AD20" s="164"/>
      <c r="AE20" s="472"/>
      <c r="AF20" s="472"/>
      <c r="AG20" s="472"/>
      <c r="AH20" s="475"/>
      <c r="AI20" s="163"/>
      <c r="AJ20" s="163"/>
      <c r="AK20" s="163"/>
      <c r="AL20" s="163"/>
      <c r="AM20" s="163"/>
      <c r="AN20" s="163"/>
      <c r="AO20" s="163"/>
      <c r="AP20" s="163"/>
      <c r="AQ20" s="163"/>
      <c r="AR20" s="141"/>
      <c r="AS20" s="141"/>
      <c r="AT20" s="141"/>
      <c r="AU20" s="141"/>
      <c r="AV20" s="141"/>
      <c r="AW20" s="72"/>
      <c r="AX20" s="145"/>
    </row>
    <row r="21" spans="1:53" s="146" customFormat="1" ht="16.5" thickBot="1">
      <c r="A21" s="459"/>
      <c r="B21" s="460"/>
      <c r="C21" s="460"/>
      <c r="D21" s="460"/>
      <c r="E21" s="460"/>
      <c r="F21" s="460"/>
      <c r="G21" s="461"/>
      <c r="H21" s="156" t="s">
        <v>398</v>
      </c>
      <c r="I21" s="160"/>
      <c r="J21" s="160"/>
      <c r="K21" s="160"/>
      <c r="L21" s="161"/>
      <c r="M21" s="161"/>
      <c r="N21" s="161"/>
      <c r="O21" s="161"/>
      <c r="P21" s="161"/>
      <c r="Q21" s="162"/>
      <c r="R21" s="468"/>
      <c r="S21" s="469"/>
      <c r="T21" s="470"/>
      <c r="U21" s="435">
        <v>0</v>
      </c>
      <c r="V21" s="435"/>
      <c r="W21" s="435"/>
      <c r="X21" s="435"/>
      <c r="Y21" s="163"/>
      <c r="Z21" s="473"/>
      <c r="AA21" s="474"/>
      <c r="AB21" s="474"/>
      <c r="AC21" s="474"/>
      <c r="AD21" s="165"/>
      <c r="AE21" s="474"/>
      <c r="AF21" s="474"/>
      <c r="AG21" s="474"/>
      <c r="AH21" s="476"/>
      <c r="AI21" s="163"/>
      <c r="AJ21" s="163"/>
      <c r="AK21" s="163"/>
      <c r="AL21" s="163"/>
      <c r="AM21" s="163"/>
      <c r="AN21" s="163"/>
      <c r="AO21" s="163"/>
      <c r="AP21" s="163"/>
      <c r="AQ21" s="163"/>
      <c r="AR21" s="141"/>
      <c r="AS21" s="141"/>
      <c r="AT21" s="141"/>
      <c r="AU21" s="141"/>
      <c r="AV21" s="141"/>
      <c r="AW21" s="72"/>
      <c r="AX21" s="145"/>
    </row>
    <row r="22" spans="1:53" s="146" customFormat="1" ht="15.75">
      <c r="A22" s="166"/>
      <c r="B22" s="167"/>
      <c r="C22" s="167"/>
      <c r="D22" s="167"/>
      <c r="E22" s="167"/>
      <c r="F22" s="167"/>
      <c r="G22" s="167"/>
      <c r="H22" s="166"/>
      <c r="I22" s="166"/>
      <c r="J22" s="166"/>
      <c r="K22" s="166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41"/>
      <c r="AS22" s="141"/>
      <c r="AT22" s="141"/>
      <c r="AU22" s="141"/>
      <c r="AV22" s="141"/>
      <c r="AW22" s="72"/>
      <c r="AX22" s="145"/>
    </row>
    <row r="23" spans="1:53" ht="15.75" thickBot="1">
      <c r="A23" s="166" t="s">
        <v>399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Z23" s="436"/>
      <c r="AA23" s="436"/>
      <c r="AB23" s="436"/>
      <c r="AC23" s="436"/>
      <c r="AD23" s="436"/>
      <c r="AE23" s="436"/>
      <c r="AF23" s="436"/>
      <c r="AG23" s="436"/>
    </row>
    <row r="24" spans="1:53" ht="16.5" thickBot="1">
      <c r="A24" s="171" t="s">
        <v>400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3"/>
      <c r="U24" s="437">
        <f>ROUND(((1+U13+U14+U15)*(1+U16)*(1+U17))/((1-(U18+U19+U20)))-1,4)</f>
        <v>2.0400000000000001E-2</v>
      </c>
      <c r="V24" s="437"/>
      <c r="W24" s="437"/>
      <c r="X24" s="438"/>
      <c r="AB24" s="446" t="s">
        <v>365</v>
      </c>
      <c r="AC24" s="446"/>
      <c r="AD24" s="446"/>
      <c r="AE24" s="446"/>
      <c r="AF24" s="446"/>
      <c r="AG24" s="446"/>
      <c r="AH24" s="446"/>
      <c r="AI24" s="446"/>
      <c r="AS24" s="170"/>
      <c r="BA24" s="169"/>
    </row>
    <row r="25" spans="1:53" ht="16.5" thickBot="1">
      <c r="A25" s="174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75"/>
      <c r="V25" s="175"/>
      <c r="W25" s="175"/>
      <c r="X25" s="175"/>
      <c r="AB25" s="446"/>
      <c r="AC25" s="446"/>
      <c r="AD25" s="446"/>
      <c r="AE25" s="446"/>
      <c r="AF25" s="446"/>
      <c r="AG25" s="446"/>
      <c r="AH25" s="446"/>
      <c r="AI25" s="446"/>
      <c r="AS25" s="170"/>
      <c r="BA25" s="169"/>
    </row>
    <row r="26" spans="1:53" ht="15.75">
      <c r="A26" s="174" t="s">
        <v>401</v>
      </c>
      <c r="B26" s="168"/>
      <c r="C26" s="168"/>
      <c r="D26" s="168"/>
      <c r="E26" s="168"/>
      <c r="F26" s="168"/>
      <c r="G26" s="168"/>
      <c r="H26" s="439" t="s">
        <v>292</v>
      </c>
      <c r="I26" s="440"/>
      <c r="J26" s="440"/>
      <c r="K26" s="443" t="s">
        <v>402</v>
      </c>
      <c r="L26" s="443"/>
      <c r="M26" s="443"/>
      <c r="N26" s="443"/>
      <c r="O26" s="443"/>
      <c r="P26" s="443"/>
      <c r="Q26" s="443"/>
      <c r="R26" s="443"/>
      <c r="S26" s="444"/>
      <c r="T26" s="168"/>
      <c r="U26" s="434"/>
      <c r="V26" s="434"/>
      <c r="W26" s="434"/>
      <c r="X26" s="434"/>
      <c r="Y26" s="181"/>
      <c r="Z26" s="181"/>
      <c r="AA26" s="181"/>
      <c r="AB26" s="181"/>
      <c r="AC26" s="181"/>
      <c r="AD26" s="181"/>
      <c r="AS26" s="170"/>
      <c r="BA26" s="169"/>
    </row>
    <row r="27" spans="1:53" ht="16.5" thickBot="1">
      <c r="A27" s="174"/>
      <c r="B27" s="168"/>
      <c r="C27" s="168"/>
      <c r="D27" s="168"/>
      <c r="E27" s="168"/>
      <c r="F27" s="168"/>
      <c r="G27" s="168"/>
      <c r="H27" s="441"/>
      <c r="I27" s="442"/>
      <c r="J27" s="442"/>
      <c r="K27" s="442" t="s">
        <v>403</v>
      </c>
      <c r="L27" s="442"/>
      <c r="M27" s="442"/>
      <c r="N27" s="442"/>
      <c r="O27" s="442"/>
      <c r="P27" s="442"/>
      <c r="Q27" s="442"/>
      <c r="R27" s="442"/>
      <c r="S27" s="445"/>
      <c r="T27" s="168"/>
      <c r="U27" s="175"/>
      <c r="V27" s="175"/>
      <c r="W27" s="175"/>
      <c r="X27" s="175"/>
      <c r="AS27" s="170"/>
      <c r="BA27" s="169"/>
    </row>
    <row r="28" spans="1:53" ht="15.75">
      <c r="A28" s="174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75"/>
      <c r="V28" s="175"/>
      <c r="W28" s="175"/>
      <c r="X28" s="175"/>
      <c r="AS28" s="170"/>
      <c r="BA28" s="169"/>
    </row>
    <row r="29" spans="1:53" ht="15.75">
      <c r="A29" s="174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75"/>
      <c r="V29" s="175"/>
      <c r="W29" s="175"/>
      <c r="X29" s="175"/>
      <c r="AS29" s="170"/>
      <c r="BA29" s="169"/>
    </row>
    <row r="30" spans="1:53" ht="15.75">
      <c r="A30" s="174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430" t="s">
        <v>406</v>
      </c>
      <c r="M30" s="430"/>
      <c r="N30" s="430"/>
      <c r="O30" s="430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S30" s="170"/>
      <c r="BA30" s="169"/>
    </row>
    <row r="31" spans="1:53" ht="15.75">
      <c r="A31" s="174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75"/>
      <c r="V31" s="175"/>
      <c r="W31" s="175"/>
      <c r="X31" s="175"/>
      <c r="AS31" s="170"/>
      <c r="BA31" s="169"/>
    </row>
    <row r="32" spans="1:53" ht="15.75">
      <c r="A32" s="174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75"/>
      <c r="V32" s="175"/>
      <c r="W32" s="175"/>
      <c r="X32" s="175"/>
      <c r="AS32" s="170"/>
      <c r="BA32" s="169"/>
    </row>
    <row r="33" spans="1:53" ht="15.75">
      <c r="A33" s="174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75"/>
      <c r="V33" s="175"/>
      <c r="W33" s="175"/>
      <c r="X33" s="176"/>
      <c r="AS33" s="170"/>
      <c r="BA33" s="169"/>
    </row>
    <row r="34" spans="1:53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AA34" s="178"/>
      <c r="AB34" s="178"/>
      <c r="AC34" s="178"/>
      <c r="AD34" s="178"/>
      <c r="AE34" s="178"/>
      <c r="AF34" s="178"/>
    </row>
    <row r="35" spans="1:53" ht="15.75">
      <c r="A35" s="179" t="s">
        <v>404</v>
      </c>
      <c r="B35" s="180"/>
      <c r="C35" s="178"/>
      <c r="D35" s="178"/>
      <c r="E35" s="178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</row>
    <row r="36" spans="1:53" ht="15.75">
      <c r="A36" s="179" t="s">
        <v>405</v>
      </c>
      <c r="B36" s="180"/>
      <c r="C36" s="433"/>
      <c r="D36" s="433"/>
      <c r="E36" s="433"/>
      <c r="F36" s="433"/>
      <c r="G36" s="433"/>
      <c r="H36" s="433"/>
      <c r="I36" s="433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BA36" s="169"/>
    </row>
  </sheetData>
  <sheetProtection password="CB75" sheet="1" objects="1" scenarios="1"/>
  <mergeCells count="48">
    <mergeCell ref="A9:AL9"/>
    <mergeCell ref="A7:AL7"/>
    <mergeCell ref="Z11:AH11"/>
    <mergeCell ref="A12:Q12"/>
    <mergeCell ref="R12:T12"/>
    <mergeCell ref="U12:X12"/>
    <mergeCell ref="Z12:AC12"/>
    <mergeCell ref="AE12:AH12"/>
    <mergeCell ref="R13:T13"/>
    <mergeCell ref="U13:X13"/>
    <mergeCell ref="Z13:AC13"/>
    <mergeCell ref="AE13:AH13"/>
    <mergeCell ref="R14:T14"/>
    <mergeCell ref="U14:X14"/>
    <mergeCell ref="Z14:AC14"/>
    <mergeCell ref="AE14:AH14"/>
    <mergeCell ref="R15:T15"/>
    <mergeCell ref="U15:X15"/>
    <mergeCell ref="Z15:AC15"/>
    <mergeCell ref="AE15:AH15"/>
    <mergeCell ref="R16:T16"/>
    <mergeCell ref="U16:X16"/>
    <mergeCell ref="Z16:AC16"/>
    <mergeCell ref="AE16:AH16"/>
    <mergeCell ref="R17:T17"/>
    <mergeCell ref="U17:X17"/>
    <mergeCell ref="Z17:AC17"/>
    <mergeCell ref="AE17:AH17"/>
    <mergeCell ref="A18:G21"/>
    <mergeCell ref="R18:T21"/>
    <mergeCell ref="U18:X18"/>
    <mergeCell ref="Z18:AC21"/>
    <mergeCell ref="AE18:AH21"/>
    <mergeCell ref="U19:X19"/>
    <mergeCell ref="U20:X20"/>
    <mergeCell ref="U21:X21"/>
    <mergeCell ref="Z23:AC23"/>
    <mergeCell ref="AD23:AG23"/>
    <mergeCell ref="U24:X24"/>
    <mergeCell ref="AB24:AI25"/>
    <mergeCell ref="L30:O30"/>
    <mergeCell ref="P30:AH30"/>
    <mergeCell ref="F35:P35"/>
    <mergeCell ref="C36:I36"/>
    <mergeCell ref="U26:X26"/>
    <mergeCell ref="H26:J27"/>
    <mergeCell ref="K26:S26"/>
    <mergeCell ref="K27:S27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4294967293" verticalDpi="4294967293" r:id="rId1"/>
  <headerFooter>
    <oddFooter>&amp;R&amp;"Arial,Normal"&amp;7ARQUIVO - Z: &amp;Z&amp;F</oddFooter>
  </headerFooter>
  <drawing r:id="rId2"/>
  <legacyDrawing r:id="rId3"/>
  <oleObjects>
    <oleObject progId="Documento do Microsoft Office Word" shapeId="614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Proposta de Preços</vt:lpstr>
      <vt:lpstr>Quantitativos</vt:lpstr>
      <vt:lpstr>Cronograma Licitante</vt:lpstr>
      <vt:lpstr>BDI</vt:lpstr>
      <vt:lpstr>BDI!Area_de_impressao</vt:lpstr>
      <vt:lpstr>'Cronograma Licitante'!Area_de_impressao</vt:lpstr>
      <vt:lpstr>'Proposta de Preços'!Area_de_impressao</vt:lpstr>
      <vt:lpstr>Fonte</vt:lpstr>
      <vt:lpstr>'Proposta de Preços'!Titulos_de_impressao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2018-07-12T18:15:11Z</cp:lastPrinted>
  <dcterms:created xsi:type="dcterms:W3CDTF">2014-03-31T18:21:24Z</dcterms:created>
  <dcterms:modified xsi:type="dcterms:W3CDTF">2018-09-27T12:58:33Z</dcterms:modified>
</cp:coreProperties>
</file>